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Istruzioni" sheetId="1" state="visible" r:id="rId3"/>
    <sheet name="Scaduto" sheetId="2" state="visible" r:id="rId4"/>
    <sheet name="Fatture" sheetId="3" state="visible" r:id="rId5"/>
    <sheet name="Incassi" sheetId="4" state="visible" r:id="rId6"/>
    <sheet name="Come lo usiamo noi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<sst xmlns="http://schemas.openxmlformats.org/spreadsheetml/2006/main" count="403" uniqueCount="154">
  <si>
    <t xml:space="preserve">Fatturato, incassato e scaduto per cliente</t>
  </si>
  <si>
    <t xml:space="preserve">Strumento gratuito di REVERSEA, Fractional CFO per PMI italiane. Altri strumenti: https://reversea.io/strumenti</t>
  </si>
  <si>
    <t xml:space="preserve">Cosa contiene</t>
  </si>
  <si>
    <t xml:space="preserve">Scaduto: per ogni cliente fatturato, incassato, da incassare diviso per anzianità, credito non abbinato e giorni medi per incassare.</t>
  </si>
  <si>
    <t xml:space="preserve">Fatture: una riga per fattura, con scadenza, incassato, stato e giorni di ritardo alla data di riferimento.</t>
  </si>
  <si>
    <t xml:space="preserve">Incassi: una riga per incasso o nota di credito, con la fattura che chiude.</t>
  </si>
  <si>
    <t xml:space="preserve">Come si usa</t>
  </si>
  <si>
    <t xml:space="preserve">1. Nel foglio Fatture si inseriscono la data di riferimento e i termini di pagamento normali.</t>
  </si>
  <si>
    <t xml:space="preserve">2. Si incollano le fatture emesse dal gestionale: numero, data, cliente, importo lordo. I termini si scrivono solo se diversi dal normale.</t>
  </si>
  <si>
    <t xml:space="preserve">3. Nel foglio Incassi si incollano gli incassi dall'estratto conto, e per ognuno si scrive il numero della fattura che chiude. Un incasso che paga due fatture si divide in due righe.</t>
  </si>
  <si>
    <t xml:space="preserve">4. Una nota di credito va negli Incassi, col tipo Nota di credito e la fattura che riduce.</t>
  </si>
  <si>
    <t xml:space="preserve">5. Il nome del cliente deve essere scritto uguale nei due fogli. I numeri delle fatture devono essere unici.</t>
  </si>
  <si>
    <t xml:space="preserve">Come si legge</t>
  </si>
  <si>
    <t xml:space="preserve">Cambiando la data di riferimento si rifà il conto a quella data: incassi e fatture successivi non contano. Così si confronta la fine di un mese con la fine del mese prima.</t>
  </si>
  <si>
    <t xml:space="preserve">Un incasso senza fattura resta come credito del cliente: è spesso un acconto, o un pagamento da abbinare. Non sparisce e non chiude niente.</t>
  </si>
  <si>
    <t xml:space="preserve">I giorni medi per incassare si contano dall'emissione all'ultimo incasso, sulle sole fatture già incassate, pesati sull'importo.</t>
  </si>
  <si>
    <t xml:space="preserve">Legenda</t>
  </si>
  <si>
    <t xml:space="preserve">Celle grigie con numeri blu: dati da inserire.</t>
  </si>
  <si>
    <t xml:space="preserve">Numeri neri: formule, non vanno toccate.</t>
  </si>
  <si>
    <t xml:space="preserve">Numeri verdi: dati che arrivano da un altro foglio.</t>
  </si>
  <si>
    <t xml:space="preserve">Testo rosso: un segnale da guardare.</t>
  </si>
  <si>
    <t xml:space="preserve">I numeri presenti sono di esempio, riferiti a un'azienda immaginaria. Non sono dati di nessun cliente.</t>
  </si>
  <si>
    <t xml:space="preserve">Scaduto per cliente</t>
  </si>
  <si>
    <t xml:space="preserve">Situazione alla data di riferimento, fatture emesse fino a quella data, euro:</t>
  </si>
  <si>
    <t xml:space="preserve">Da incassare = non scaduto più le quattro fasce di scaduto. Il credito è incassato e non abbinato a nessuna fattura.</t>
  </si>
  <si>
    <t xml:space="preserve">Cliente</t>
  </si>
  <si>
    <t xml:space="preserve">Fatturato</t>
  </si>
  <si>
    <t xml:space="preserve">Incassato sulle fatture</t>
  </si>
  <si>
    <t xml:space="preserve">Da incassare</t>
  </si>
  <si>
    <t xml:space="preserve">Non scaduto</t>
  </si>
  <si>
    <t xml:space="preserve">Scaduto 1-30</t>
  </si>
  <si>
    <t xml:space="preserve">Scaduto 31-60</t>
  </si>
  <si>
    <t xml:space="preserve">Scaduto 61-90</t>
  </si>
  <si>
    <t xml:space="preserve">Scaduto oltre 90</t>
  </si>
  <si>
    <t xml:space="preserve">Credito non abbinato</t>
  </si>
  <si>
    <t xml:space="preserve">Giorni medi per incassare</t>
  </si>
  <si>
    <t xml:space="preserve">Totale</t>
  </si>
  <si>
    <t xml:space="preserve">Controlli</t>
  </si>
  <si>
    <t xml:space="preserve">Incassi abbinati a una fattura che non esiste</t>
  </si>
  <si>
    <t xml:space="preserve">Fatture incassate più del dovuto</t>
  </si>
  <si>
    <t xml:space="preserve">Clienti oltre le righe di questo foglio</t>
  </si>
  <si>
    <t xml:space="preserve">Ogni controllo deve fare zero.</t>
  </si>
  <si>
    <t xml:space="preserve">Fatture</t>
  </si>
  <si>
    <t xml:space="preserve">Una riga per fattura emessa, importi lordi in euro. Lo stato è alla data di riferimento.</t>
  </si>
  <si>
    <t xml:space="preserve">Data di riferimento</t>
  </si>
  <si>
    <t xml:space="preserve">Lo stato di ogni fattura si legge a questa data. Di solito la fine del mese appena chiuso.</t>
  </si>
  <si>
    <t xml:space="preserve">Termini di pagamento normali, in giorni</t>
  </si>
  <si>
    <t xml:space="preserve">Se una fattura ha termini diversi, si scrivono nella sua riga.</t>
  </si>
  <si>
    <t xml:space="preserve">Numero</t>
  </si>
  <si>
    <t xml:space="preserve">Data</t>
  </si>
  <si>
    <t xml:space="preserve">Importo</t>
  </si>
  <si>
    <t xml:space="preserve">Termini (gg)</t>
  </si>
  <si>
    <t xml:space="preserve">Scadenza</t>
  </si>
  <si>
    <t xml:space="preserve">Incassato</t>
  </si>
  <si>
    <t xml:space="preserve">Stato</t>
  </si>
  <si>
    <t xml:space="preserve">Giorni di ritardo</t>
  </si>
  <si>
    <t xml:space="preserve">Anzianità</t>
  </si>
  <si>
    <t xml:space="preserve">Ultimo incasso</t>
  </si>
  <si>
    <t xml:space="preserve">Giorni per incassarla</t>
  </si>
  <si>
    <t xml:space="preserve">Importo x giorni</t>
  </si>
  <si>
    <t xml:space="preserve">N. cliente</t>
  </si>
  <si>
    <t xml:space="preserve">2026/001</t>
  </si>
  <si>
    <t xml:space="preserve">Alfa Impianti</t>
  </si>
  <si>
    <t xml:space="preserve">2026/002</t>
  </si>
  <si>
    <t xml:space="preserve">Beta Logistica</t>
  </si>
  <si>
    <t xml:space="preserve">2026/003</t>
  </si>
  <si>
    <t xml:space="preserve">Gamma Edilizia</t>
  </si>
  <si>
    <t xml:space="preserve">2026/004</t>
  </si>
  <si>
    <t xml:space="preserve">Delta Ristorazione</t>
  </si>
  <si>
    <t xml:space="preserve">2026/005</t>
  </si>
  <si>
    <t xml:space="preserve">Epsilon Software</t>
  </si>
  <si>
    <t xml:space="preserve">2026/006</t>
  </si>
  <si>
    <t xml:space="preserve">Zeta Moda</t>
  </si>
  <si>
    <t xml:space="preserve">2026/007</t>
  </si>
  <si>
    <t xml:space="preserve">Eta Ottica</t>
  </si>
  <si>
    <t xml:space="preserve">2026/008</t>
  </si>
  <si>
    <t xml:space="preserve">Theta Arredi</t>
  </si>
  <si>
    <t xml:space="preserve">2026/009</t>
  </si>
  <si>
    <t xml:space="preserve">2026/010</t>
  </si>
  <si>
    <t xml:space="preserve">2026/011</t>
  </si>
  <si>
    <t xml:space="preserve">2026/012</t>
  </si>
  <si>
    <t xml:space="preserve">2026/013</t>
  </si>
  <si>
    <t xml:space="preserve">2026/014</t>
  </si>
  <si>
    <t xml:space="preserve">2026/015</t>
  </si>
  <si>
    <t xml:space="preserve">2026/016</t>
  </si>
  <si>
    <t xml:space="preserve">2026/017</t>
  </si>
  <si>
    <t xml:space="preserve">2026/018</t>
  </si>
  <si>
    <t xml:space="preserve">2026/019</t>
  </si>
  <si>
    <t xml:space="preserve">2026/020</t>
  </si>
  <si>
    <t xml:space="preserve">2026/021</t>
  </si>
  <si>
    <t xml:space="preserve">2026/022</t>
  </si>
  <si>
    <t xml:space="preserve">2026/023</t>
  </si>
  <si>
    <t xml:space="preserve">2026/024</t>
  </si>
  <si>
    <t xml:space="preserve">2026/025</t>
  </si>
  <si>
    <t xml:space="preserve">2026/026</t>
  </si>
  <si>
    <t xml:space="preserve">2026/027</t>
  </si>
  <si>
    <t xml:space="preserve">2026/028</t>
  </si>
  <si>
    <t xml:space="preserve">2026/029</t>
  </si>
  <si>
    <t xml:space="preserve">2026/030</t>
  </si>
  <si>
    <t xml:space="preserve">2026/031</t>
  </si>
  <si>
    <t xml:space="preserve">2026/032</t>
  </si>
  <si>
    <t xml:space="preserve">2026/033</t>
  </si>
  <si>
    <t xml:space="preserve">2026/034</t>
  </si>
  <si>
    <t xml:space="preserve">2026/035</t>
  </si>
  <si>
    <t xml:space="preserve">2026/036</t>
  </si>
  <si>
    <t xml:space="preserve">2026/037</t>
  </si>
  <si>
    <t xml:space="preserve">2026/038</t>
  </si>
  <si>
    <t xml:space="preserve">2026/039</t>
  </si>
  <si>
    <t xml:space="preserve">2026/040</t>
  </si>
  <si>
    <t xml:space="preserve">2026/041</t>
  </si>
  <si>
    <t xml:space="preserve">2026/042</t>
  </si>
  <si>
    <t xml:space="preserve">2026/043</t>
  </si>
  <si>
    <t xml:space="preserve">2026/044</t>
  </si>
  <si>
    <t xml:space="preserve">2026/045</t>
  </si>
  <si>
    <t xml:space="preserve">2026/046</t>
  </si>
  <si>
    <t xml:space="preserve">2026/047</t>
  </si>
  <si>
    <t xml:space="preserve">2026/048</t>
  </si>
  <si>
    <t xml:space="preserve">2026/049</t>
  </si>
  <si>
    <t xml:space="preserve">2026/050</t>
  </si>
  <si>
    <t xml:space="preserve">2026/051</t>
  </si>
  <si>
    <t xml:space="preserve">2026/052</t>
  </si>
  <si>
    <t xml:space="preserve">2026/053</t>
  </si>
  <si>
    <t xml:space="preserve">2026/054</t>
  </si>
  <si>
    <t xml:space="preserve">2026/055</t>
  </si>
  <si>
    <t xml:space="preserve">2026/056</t>
  </si>
  <si>
    <t xml:space="preserve">2026/057</t>
  </si>
  <si>
    <t xml:space="preserve">2026/058</t>
  </si>
  <si>
    <t xml:space="preserve">2026/059</t>
  </si>
  <si>
    <t xml:space="preserve">2026/060</t>
  </si>
  <si>
    <t xml:space="preserve">2026/061</t>
  </si>
  <si>
    <t xml:space="preserve">2026/062</t>
  </si>
  <si>
    <t xml:space="preserve">2026/063</t>
  </si>
  <si>
    <t xml:space="preserve">2026/064</t>
  </si>
  <si>
    <t xml:space="preserve">2026/065</t>
  </si>
  <si>
    <t xml:space="preserve">2026/066</t>
  </si>
  <si>
    <t xml:space="preserve">2026/067</t>
  </si>
  <si>
    <t xml:space="preserve">2026/068</t>
  </si>
  <si>
    <t xml:space="preserve">2026/069</t>
  </si>
  <si>
    <t xml:space="preserve">I numeri presenti sono di esempio: un'azienda immaginaria. Si sostituiscono con i propri nelle celle grigie. Le colonne da Scadenza in poi sono formule. Una nota di credito si registra nel foglio Incassi.</t>
  </si>
  <si>
    <t xml:space="preserve">Incassi e note di credito</t>
  </si>
  <si>
    <t xml:space="preserve">Una riga per incasso dal conto, o per nota di credito. Nella colonna Fattura il numero della fattura che chiude; vuota, resta un credito del cliente.</t>
  </si>
  <si>
    <t xml:space="preserve">Fattura</t>
  </si>
  <si>
    <t xml:space="preserve">Tipo</t>
  </si>
  <si>
    <t xml:space="preserve">Bonifico</t>
  </si>
  <si>
    <t xml:space="preserve">Nota di credito</t>
  </si>
  <si>
    <t xml:space="preserve">I numeri presenti sono di esempio: un'azienda immaginaria. Si sostituiscono con i propri nelle celle grigie.</t>
  </si>
  <si>
    <t xml:space="preserve">Come lo usiamo noi</t>
  </si>
  <si>
    <t xml:space="preserve">REVERSEA, Fractional CFO per PMI italiane</t>
  </si>
  <si>
    <t xml:space="preserve">Lo stato delle fatture lo leggiamo sempre a una data, di solito la fine del mese appena chiuso, e lo confrontiamo con il mese prima. Lo scaduto di un giorno qualunque dice poco; la sua direzione dice molto.</t>
  </si>
  <si>
    <t xml:space="preserve">Il fatturato e l'incassato vivono in due sistemi diversi, il gestionale e la banca, e il lavoro vero è tenerli insieme. Coi clienti l'abbinamento lo fa un motore a regole: prima la causale, poi l'importo esatto, poi le combinazioni di fatture, e solo alla fine il pagamento a scalare dalla fattura più vecchia.</t>
  </si>
  <si>
    <t xml:space="preserve">Un incasso che non si abbina a niente non lo facciamo sparire: resta come credito del cliente, con la sua data, finché non arriva la fattura che lo assorbe o qualcuno lo spiega.</t>
  </si>
  <si>
    <t xml:space="preserve">Lo scaduto lo guardiamo per cliente e per anzianità, perché le azioni sono diverse: sotto i trenta giorni basta un promemoria, sopra i novanta serve una telefonata di chi conosce il cliente.</t>
  </si>
  <si>
    <t xml:space="preserve">Coi clienti lo aggiorniamo dagli export del gestionale e della banca, senza riscrivere niente a mano, e lo leggiamo insieme alla previsione di cassa.</t>
  </si>
  <si>
    <t xml:space="preserve">Per parlarne: https://reversea.io/contatti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</si>
</sst>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;\(#,##0\);\-"/>
    <numFmt numFmtId="167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40A34"/>
      <name val="Arial"/>
      <family val="0"/>
      <charset val="1"/>
    </font>
    <font>
      <sz val="10"/>
      <color rgb="FF555B7A"/>
      <name val="Arial"/>
      <family val="0"/>
      <charset val="1"/>
    </font>
    <font>
      <b val="true"/>
      <sz val="10"/>
      <color rgb="FF040A34"/>
      <name val="Arial"/>
      <family val="0"/>
      <charset val="1"/>
    </font>
    <font>
      <sz val="10"/>
      <color rgb="FF040A34"/>
      <name val="Arial"/>
      <family val="0"/>
      <charset val="1"/>
    </font>
    <font>
      <sz val="10"/>
      <color rgb="FF4750FD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82A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40A34"/>
        <bgColor rgb="FF000000"/>
      </patternFill>
    </fill>
    <fill>
      <patternFill patternType="solid">
        <fgColor rgb="FFD6D9E4"/>
        <bgColor rgb="FFEBECF1"/>
      </patternFill>
    </fill>
    <fill>
      <patternFill patternType="solid">
        <fgColor rgb="FFEBECF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040A3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F82A59"/>
        <sz val="10"/>
      </font>
      <fill>
        <patternFill>
          <bgColor rgb="FFFDD3DD"/>
        </patternFill>
      </fill>
    </dxf>
    <dxf>
      <font>
        <name val="Arial"/>
        <charset val="1"/>
        <family val="0"/>
        <b val="1"/>
        <color rgb="FFF82A59"/>
        <sz val="10"/>
      </font>
    </dxf>
  </dxfs>
  <colors>
    <indexedColors>
      <rgbColor rgb="FF000000"/>
      <rgbColor rgb="FFFFFFFF"/>
      <rgbColor rgb="FFF82A59"/>
      <rgbColor rgb="FF00FF00"/>
      <rgbColor rgb="FF0000FF"/>
      <rgbColor rgb="FFFFFF00"/>
      <rgbColor rgb="FFFF00FF"/>
      <rgbColor rgb="FF00FFFF"/>
      <rgbColor rgb="FF800000"/>
      <rgbColor rgb="FF008000"/>
      <rgbColor rgb="FF040A34"/>
      <rgbColor rgb="FF808000"/>
      <rgbColor rgb="FF800080"/>
      <rgbColor rgb="FF008080"/>
      <rgbColor rgb="FFC0C0C0"/>
      <rgbColor rgb="FF808080"/>
      <rgbColor rgb="FF9999FF"/>
      <rgbColor rgb="FF993366"/>
      <rgbColor rgb="FFEBECF1"/>
      <rgbColor rgb="FFCCFFFF"/>
      <rgbColor rgb="FF660066"/>
      <rgbColor rgb="FFFF8080"/>
      <rgbColor rgb="FF0066CC"/>
      <rgbColor rgb="FFD6D9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D3DD"/>
      <rgbColor rgb="FF4750FD"/>
      <rgbColor rgb="FF33CCCC"/>
      <rgbColor rgb="FF99CC00"/>
      <rgbColor rgb="FFFFCC00"/>
      <rgbColor rgb="FFFF9900"/>
      <rgbColor rgb="FFFF6600"/>
      <rgbColor rgb="FF555B7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eversea.io/strumenti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reversea.io/contatti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23.8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4" t="s">
        <v>7</v>
      </c>
    </row>
    <row r="12" customFormat="false" ht="23.85" hidden="false" customHeight="false" outlineLevel="0" collapsed="false">
      <c r="B12" s="4" t="s">
        <v>8</v>
      </c>
    </row>
    <row r="13" customFormat="false" ht="23.8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4" t="s">
        <v>10</v>
      </c>
    </row>
    <row r="15" customFormat="false" ht="15" hidden="false" customHeight="false" outlineLevel="0" collapsed="false">
      <c r="B15" s="4" t="s">
        <v>11</v>
      </c>
    </row>
    <row r="17" customFormat="false" ht="15" hidden="false" customHeight="false" outlineLevel="0" collapsed="false">
      <c r="B17" s="3" t="s">
        <v>12</v>
      </c>
    </row>
    <row r="18" customFormat="false" ht="23.85" hidden="false" customHeight="false" outlineLevel="0" collapsed="false">
      <c r="B18" s="4" t="s">
        <v>13</v>
      </c>
    </row>
    <row r="19" customFormat="false" ht="23.85" hidden="false" customHeight="false" outlineLevel="0" collapsed="false">
      <c r="B19" s="4" t="s">
        <v>14</v>
      </c>
    </row>
    <row r="20" customFormat="false" ht="15" hidden="false" customHeight="false" outlineLevel="0" collapsed="false">
      <c r="B20" s="4" t="s">
        <v>15</v>
      </c>
    </row>
    <row r="22" customFormat="false" ht="15" hidden="false" customHeight="false" outlineLevel="0" collapsed="false">
      <c r="B22" s="3" t="s">
        <v>16</v>
      </c>
    </row>
    <row r="23" customFormat="false" ht="15" hidden="false" customHeight="false" outlineLevel="0" collapsed="false">
      <c r="B23" s="5" t="s">
        <v>17</v>
      </c>
    </row>
    <row r="24" customFormat="false" ht="15" hidden="false" customHeight="false" outlineLevel="0" collapsed="false">
      <c r="B24" s="6" t="s">
        <v>18</v>
      </c>
    </row>
    <row r="25" customFormat="false" ht="15" hidden="false" customHeight="false" outlineLevel="0" collapsed="false">
      <c r="B25" s="7" t="s">
        <v>19</v>
      </c>
    </row>
    <row r="26" customFormat="false" ht="15" hidden="false" customHeight="false" outlineLevel="0" collapsed="false">
      <c r="B26" s="8" t="s">
        <v>20</v>
      </c>
    </row>
    <row r="28" customFormat="false" ht="15" hidden="false" customHeight="false" outlineLevel="0" collapsed="false">
      <c r="B28" s="9" t="s">
        <v>21</v>
      </c>
    </row>
  </sheetData>
  <hyperlinks>
    <hyperlink ref="B3" r:id="rId1" display="Strumento gratuito di REVERSEA, Fractional CFO per PMI italiane. Altri strumenti: https://reversea.io/strument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11" min="2" style="0" width="14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  <c r="E2" s="10" t="n">
        <f aca="false">Fatture!$C$4</f>
        <v>46295</v>
      </c>
    </row>
    <row r="3" customFormat="false" ht="15" hidden="false" customHeight="false" outlineLevel="0" collapsed="false">
      <c r="A3" s="2" t="s">
        <v>24</v>
      </c>
    </row>
    <row r="7" customFormat="false" ht="30" hidden="false" customHeight="true" outlineLevel="0" collapsed="false">
      <c r="A7" s="11" t="s">
        <v>25</v>
      </c>
      <c r="B7" s="12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customFormat="false" ht="15" hidden="false" customHeight="false" outlineLevel="0" collapsed="false">
      <c r="A8" s="13" t="str">
        <f aca="false">IFERROR(INDEX(Fatture!$C$9:$C$88,MATCH(1,Fatture!$O$9:$O$88,0)),"")</f>
        <v>Alfa Impianti</v>
      </c>
      <c r="B8" s="14" t="n">
        <f aca="false">IF($A8="","",SUMIFS(Fatture!$D$9:$D$88,Fatture!$C$9:$C$88,$A8,Fatture!$B$9:$B$88,"&lt;="&amp;Fatture!$C$4))</f>
        <v>109800</v>
      </c>
      <c r="C8" s="14" t="n">
        <f aca="false">IF($A8="","",SUMIFS(Fatture!$G$9:$G$88,Fatture!$C$9:$C$88,$A8,Fatture!$B$9:$B$88,"&lt;="&amp;Fatture!$C$4))</f>
        <v>97600</v>
      </c>
      <c r="D8" s="15" t="n">
        <f aca="false">IF($A8="","",SUM(E8:I8))</f>
        <v>12200</v>
      </c>
      <c r="E8" s="14" t="n">
        <f aca="false">IF($A8="","",SUMIFS(Fatture!$H$9:$H$88,Fatture!$C$9:$C$88,$A8,Fatture!$K$9:$K$88,"Non scaduto"))</f>
        <v>12200</v>
      </c>
      <c r="F8" s="14" t="n">
        <f aca="false">IF($A8="","",SUMIFS(Fatture!$H$9:$H$88,Fatture!$C$9:$C$88,$A8,Fatture!$K$9:$K$88,"1-30 giorni"))</f>
        <v>0</v>
      </c>
      <c r="G8" s="14" t="n">
        <f aca="false">IF($A8="","",SUMIFS(Fatture!$H$9:$H$88,Fatture!$C$9:$C$88,$A8,Fatture!$K$9:$K$88,"31-60 giorni"))</f>
        <v>0</v>
      </c>
      <c r="H8" s="14" t="n">
        <f aca="false">IF($A8="","",SUMIFS(Fatture!$H$9:$H$88,Fatture!$C$9:$C$88,$A8,Fatture!$K$9:$K$88,"61-90 giorni"))</f>
        <v>0</v>
      </c>
      <c r="I8" s="14" t="n">
        <f aca="false">IF($A8="","",SUMIFS(Fatture!$H$9:$H$88,Fatture!$C$9:$C$88,$A8,Fatture!$K$9:$K$88,"Oltre 90 giorni"))</f>
        <v>0</v>
      </c>
      <c r="J8" s="14" t="n">
        <f aca="false">IF($A8="","",SUMIFS(Incassi!$C$5:$C$124,Incassi!$B$5:$B$124,$A8,Incassi!$D$5:$D$124,"",Incassi!$A$5:$A$124,"&lt;="&amp;Fatture!$C$4))</f>
        <v>0</v>
      </c>
      <c r="K8" s="16" t="n">
        <f aca="false">IF($A8="","",IFERROR(SUMIFS(Fatture!$N$9:$N$88,Fatture!$C$9:$C$88,$A8)/SUMIFS(Fatture!$D$9:$D$88,Fatture!$C$9:$C$88,$A8,Fatture!$I$9:$I$88,"Incassata"),""))</f>
        <v>30</v>
      </c>
    </row>
    <row r="9" customFormat="false" ht="15" hidden="false" customHeight="false" outlineLevel="0" collapsed="false">
      <c r="A9" s="13" t="str">
        <f aca="false">IFERROR(INDEX(Fatture!$C$9:$C$88,MATCH(2,Fatture!$O$9:$O$88,0)),"")</f>
        <v>Beta Logistica</v>
      </c>
      <c r="B9" s="14" t="n">
        <f aca="false">IF($A9="","",SUMIFS(Fatture!$D$9:$D$88,Fatture!$C$9:$C$88,$A9,Fatture!$B$9:$B$88,"&lt;="&amp;Fatture!$C$4))</f>
        <v>76860</v>
      </c>
      <c r="C9" s="14" t="n">
        <f aca="false">IF($A9="","",SUMIFS(Fatture!$G$9:$G$88,Fatture!$C$9:$C$88,$A9,Fatture!$B$9:$B$88,"&lt;="&amp;Fatture!$C$4))</f>
        <v>59780</v>
      </c>
      <c r="D9" s="15" t="n">
        <f aca="false">IF($A9="","",SUM(E9:I9))</f>
        <v>17080</v>
      </c>
      <c r="E9" s="14" t="n">
        <f aca="false">IF($A9="","",SUMIFS(Fatture!$H$9:$H$88,Fatture!$C$9:$C$88,$A9,Fatture!$K$9:$K$88,"Non scaduto"))</f>
        <v>17080</v>
      </c>
      <c r="F9" s="14" t="n">
        <f aca="false">IF($A9="","",SUMIFS(Fatture!$H$9:$H$88,Fatture!$C$9:$C$88,$A9,Fatture!$K$9:$K$88,"1-30 giorni"))</f>
        <v>0</v>
      </c>
      <c r="G9" s="14" t="n">
        <f aca="false">IF($A9="","",SUMIFS(Fatture!$H$9:$H$88,Fatture!$C$9:$C$88,$A9,Fatture!$K$9:$K$88,"31-60 giorni"))</f>
        <v>0</v>
      </c>
      <c r="H9" s="14" t="n">
        <f aca="false">IF($A9="","",SUMIFS(Fatture!$H$9:$H$88,Fatture!$C$9:$C$88,$A9,Fatture!$K$9:$K$88,"61-90 giorni"))</f>
        <v>0</v>
      </c>
      <c r="I9" s="14" t="n">
        <f aca="false">IF($A9="","",SUMIFS(Fatture!$H$9:$H$88,Fatture!$C$9:$C$88,$A9,Fatture!$K$9:$K$88,"Oltre 90 giorni"))</f>
        <v>0</v>
      </c>
      <c r="J9" s="14" t="n">
        <f aca="false">IF($A9="","",SUMIFS(Incassi!$C$5:$C$124,Incassi!$B$5:$B$124,$A9,Incassi!$D$5:$D$124,"",Incassi!$A$5:$A$124,"&lt;="&amp;Fatture!$C$4))</f>
        <v>0</v>
      </c>
      <c r="K9" s="16" t="n">
        <f aca="false">IF($A9="","",IFERROR(SUMIFS(Fatture!$N$9:$N$88,Fatture!$C$9:$C$88,$A9)/SUMIFS(Fatture!$D$9:$D$88,Fatture!$C$9:$C$88,$A9,Fatture!$I$9:$I$88,"Incassata"),""))</f>
        <v>60</v>
      </c>
    </row>
    <row r="10" customFormat="false" ht="15" hidden="false" customHeight="false" outlineLevel="0" collapsed="false">
      <c r="A10" s="13" t="str">
        <f aca="false">IFERROR(INDEX(Fatture!$C$9:$C$88,MATCH(3,Fatture!$O$9:$O$88,0)),"")</f>
        <v>Gamma Edilizia</v>
      </c>
      <c r="B10" s="14" t="n">
        <f aca="false">IF($A10="","",SUMIFS(Fatture!$D$9:$D$88,Fatture!$C$9:$C$88,$A10,Fatture!$B$9:$B$88,"&lt;="&amp;Fatture!$C$4))</f>
        <v>142740</v>
      </c>
      <c r="C10" s="14" t="n">
        <f aca="false">IF($A10="","",SUMIFS(Fatture!$G$9:$G$88,Fatture!$C$9:$C$88,$A10,Fatture!$B$9:$B$88,"&lt;="&amp;Fatture!$C$4))</f>
        <v>111020</v>
      </c>
      <c r="D10" s="15" t="n">
        <f aca="false">IF($A10="","",SUM(E10:I10))</f>
        <v>31720</v>
      </c>
      <c r="E10" s="14" t="n">
        <f aca="false">IF($A10="","",SUMIFS(Fatture!$H$9:$H$88,Fatture!$C$9:$C$88,$A10,Fatture!$K$9:$K$88,"Non scaduto"))</f>
        <v>15860</v>
      </c>
      <c r="F10" s="14" t="n">
        <f aca="false">IF($A10="","",SUMIFS(Fatture!$H$9:$H$88,Fatture!$C$9:$C$88,$A10,Fatture!$K$9:$K$88,"1-30 giorni"))</f>
        <v>15860</v>
      </c>
      <c r="G10" s="14" t="n">
        <f aca="false">IF($A10="","",SUMIFS(Fatture!$H$9:$H$88,Fatture!$C$9:$C$88,$A10,Fatture!$K$9:$K$88,"31-60 giorni"))</f>
        <v>0</v>
      </c>
      <c r="H10" s="14" t="n">
        <f aca="false">IF($A10="","",SUMIFS(Fatture!$H$9:$H$88,Fatture!$C$9:$C$88,$A10,Fatture!$K$9:$K$88,"61-90 giorni"))</f>
        <v>0</v>
      </c>
      <c r="I10" s="14" t="n">
        <f aca="false">IF($A10="","",SUMIFS(Fatture!$H$9:$H$88,Fatture!$C$9:$C$88,$A10,Fatture!$K$9:$K$88,"Oltre 90 giorni"))</f>
        <v>0</v>
      </c>
      <c r="J10" s="14" t="n">
        <f aca="false">IF($A10="","",SUMIFS(Incassi!$C$5:$C$124,Incassi!$B$5:$B$124,$A10,Incassi!$D$5:$D$124,"",Incassi!$A$5:$A$124,"&lt;="&amp;Fatture!$C$4))</f>
        <v>0</v>
      </c>
      <c r="K10" s="16" t="n">
        <f aca="false">IF($A10="","",IFERROR(SUMIFS(Fatture!$N$9:$N$88,Fatture!$C$9:$C$88,$A10)/SUMIFS(Fatture!$D$9:$D$88,Fatture!$C$9:$C$88,$A10,Fatture!$I$9:$I$88,"Incassata"),""))</f>
        <v>75</v>
      </c>
    </row>
    <row r="11" customFormat="false" ht="15" hidden="false" customHeight="false" outlineLevel="0" collapsed="false">
      <c r="A11" s="13" t="str">
        <f aca="false">IFERROR(INDEX(Fatture!$C$9:$C$88,MATCH(4,Fatture!$O$9:$O$88,0)),"")</f>
        <v>Delta Ristorazione</v>
      </c>
      <c r="B11" s="14" t="n">
        <f aca="false">IF($A11="","",SUMIFS(Fatture!$D$9:$D$88,Fatture!$C$9:$C$88,$A11,Fatture!$B$9:$B$88,"&lt;="&amp;Fatture!$C$4))</f>
        <v>43920</v>
      </c>
      <c r="C11" s="14" t="n">
        <f aca="false">IF($A11="","",SUMIFS(Fatture!$G$9:$G$88,Fatture!$C$9:$C$88,$A11,Fatture!$B$9:$B$88,"&lt;="&amp;Fatture!$C$4))</f>
        <v>36600</v>
      </c>
      <c r="D11" s="15" t="n">
        <f aca="false">IF($A11="","",SUM(E11:I11))</f>
        <v>7320</v>
      </c>
      <c r="E11" s="14" t="n">
        <f aca="false">IF($A11="","",SUMIFS(Fatture!$H$9:$H$88,Fatture!$C$9:$C$88,$A11,Fatture!$K$9:$K$88,"Non scaduto"))</f>
        <v>4880</v>
      </c>
      <c r="F11" s="14" t="n">
        <f aca="false">IF($A11="","",SUMIFS(Fatture!$H$9:$H$88,Fatture!$C$9:$C$88,$A11,Fatture!$K$9:$K$88,"1-30 giorni"))</f>
        <v>2440</v>
      </c>
      <c r="G11" s="14" t="n">
        <f aca="false">IF($A11="","",SUMIFS(Fatture!$H$9:$H$88,Fatture!$C$9:$C$88,$A11,Fatture!$K$9:$K$88,"31-60 giorni"))</f>
        <v>0</v>
      </c>
      <c r="H11" s="14" t="n">
        <f aca="false">IF($A11="","",SUMIFS(Fatture!$H$9:$H$88,Fatture!$C$9:$C$88,$A11,Fatture!$K$9:$K$88,"61-90 giorni"))</f>
        <v>0</v>
      </c>
      <c r="I11" s="14" t="n">
        <f aca="false">IF($A11="","",SUMIFS(Fatture!$H$9:$H$88,Fatture!$C$9:$C$88,$A11,Fatture!$K$9:$K$88,"Oltre 90 giorni"))</f>
        <v>0</v>
      </c>
      <c r="J11" s="14" t="n">
        <f aca="false">IF($A11="","",SUMIFS(Incassi!$C$5:$C$124,Incassi!$B$5:$B$124,$A11,Incassi!$D$5:$D$124,"",Incassi!$A$5:$A$124,"&lt;="&amp;Fatture!$C$4))</f>
        <v>0</v>
      </c>
      <c r="K11" s="16" t="n">
        <f aca="false">IF($A11="","",IFERROR(SUMIFS(Fatture!$N$9:$N$88,Fatture!$C$9:$C$88,$A11)/SUMIFS(Fatture!$D$9:$D$88,Fatture!$C$9:$C$88,$A11,Fatture!$I$9:$I$88,"Incassata"),""))</f>
        <v>60</v>
      </c>
    </row>
    <row r="12" customFormat="false" ht="15" hidden="false" customHeight="false" outlineLevel="0" collapsed="false">
      <c r="A12" s="13" t="str">
        <f aca="false">IFERROR(INDEX(Fatture!$C$9:$C$88,MATCH(5,Fatture!$O$9:$O$88,0)),"")</f>
        <v>Epsilon Software</v>
      </c>
      <c r="B12" s="14" t="n">
        <f aca="false">IF($A12="","",SUMIFS(Fatture!$D$9:$D$88,Fatture!$C$9:$C$88,$A12,Fatture!$B$9:$B$88,"&lt;="&amp;Fatture!$C$4))</f>
        <v>58560</v>
      </c>
      <c r="C12" s="14" t="n">
        <f aca="false">IF($A12="","",SUMIFS(Fatture!$G$9:$G$88,Fatture!$C$9:$C$88,$A12,Fatture!$B$9:$B$88,"&lt;="&amp;Fatture!$C$4))</f>
        <v>19520</v>
      </c>
      <c r="D12" s="15" t="n">
        <f aca="false">IF($A12="","",SUM(E12:I12))</f>
        <v>39040</v>
      </c>
      <c r="E12" s="14" t="n">
        <f aca="false">IF($A12="","",SUMIFS(Fatture!$H$9:$H$88,Fatture!$C$9:$C$88,$A12,Fatture!$K$9:$K$88,"Non scaduto"))</f>
        <v>0</v>
      </c>
      <c r="F12" s="14" t="n">
        <f aca="false">IF($A12="","",SUMIFS(Fatture!$H$9:$H$88,Fatture!$C$9:$C$88,$A12,Fatture!$K$9:$K$88,"1-30 giorni"))</f>
        <v>0</v>
      </c>
      <c r="G12" s="14" t="n">
        <f aca="false">IF($A12="","",SUMIFS(Fatture!$H$9:$H$88,Fatture!$C$9:$C$88,$A12,Fatture!$K$9:$K$88,"31-60 giorni"))</f>
        <v>0</v>
      </c>
      <c r="H12" s="14" t="n">
        <f aca="false">IF($A12="","",SUMIFS(Fatture!$H$9:$H$88,Fatture!$C$9:$C$88,$A12,Fatture!$K$9:$K$88,"61-90 giorni"))</f>
        <v>9760</v>
      </c>
      <c r="I12" s="14" t="n">
        <f aca="false">IF($A12="","",SUMIFS(Fatture!$H$9:$H$88,Fatture!$C$9:$C$88,$A12,Fatture!$K$9:$K$88,"Oltre 90 giorni"))</f>
        <v>29280</v>
      </c>
      <c r="J12" s="14" t="n">
        <f aca="false">IF($A12="","",SUMIFS(Incassi!$C$5:$C$124,Incassi!$B$5:$B$124,$A12,Incassi!$D$5:$D$124,"",Incassi!$A$5:$A$124,"&lt;="&amp;Fatture!$C$4))</f>
        <v>0</v>
      </c>
      <c r="K12" s="16" t="n">
        <f aca="false">IF($A12="","",IFERROR(SUMIFS(Fatture!$N$9:$N$88,Fatture!$C$9:$C$88,$A12)/SUMIFS(Fatture!$D$9:$D$88,Fatture!$C$9:$C$88,$A12,Fatture!$I$9:$I$88,"Incassata"),""))</f>
        <v>30</v>
      </c>
    </row>
    <row r="13" customFormat="false" ht="15" hidden="false" customHeight="false" outlineLevel="0" collapsed="false">
      <c r="A13" s="13" t="str">
        <f aca="false">IFERROR(INDEX(Fatture!$C$9:$C$88,MATCH(6,Fatture!$O$9:$O$88,0)),"")</f>
        <v>Zeta Moda</v>
      </c>
      <c r="B13" s="14" t="n">
        <f aca="false">IF($A13="","",SUMIFS(Fatture!$D$9:$D$88,Fatture!$C$9:$C$88,$A13,Fatture!$B$9:$B$88,"&lt;="&amp;Fatture!$C$4))</f>
        <v>54900</v>
      </c>
      <c r="C13" s="14" t="n">
        <f aca="false">IF($A13="","",SUMIFS(Fatture!$G$9:$G$88,Fatture!$C$9:$C$88,$A13,Fatture!$B$9:$B$88,"&lt;="&amp;Fatture!$C$4))</f>
        <v>42700</v>
      </c>
      <c r="D13" s="15" t="n">
        <f aca="false">IF($A13="","",SUM(E13:I13))</f>
        <v>12200</v>
      </c>
      <c r="E13" s="14" t="n">
        <f aca="false">IF($A13="","",SUMIFS(Fatture!$H$9:$H$88,Fatture!$C$9:$C$88,$A13,Fatture!$K$9:$K$88,"Non scaduto"))</f>
        <v>6100</v>
      </c>
      <c r="F13" s="14" t="n">
        <f aca="false">IF($A13="","",SUMIFS(Fatture!$H$9:$H$88,Fatture!$C$9:$C$88,$A13,Fatture!$K$9:$K$88,"1-30 giorni"))</f>
        <v>6100</v>
      </c>
      <c r="G13" s="14" t="n">
        <f aca="false">IF($A13="","",SUMIFS(Fatture!$H$9:$H$88,Fatture!$C$9:$C$88,$A13,Fatture!$K$9:$K$88,"31-60 giorni"))</f>
        <v>0</v>
      </c>
      <c r="H13" s="14" t="n">
        <f aca="false">IF($A13="","",SUMIFS(Fatture!$H$9:$H$88,Fatture!$C$9:$C$88,$A13,Fatture!$K$9:$K$88,"61-90 giorni"))</f>
        <v>0</v>
      </c>
      <c r="I13" s="14" t="n">
        <f aca="false">IF($A13="","",SUMIFS(Fatture!$H$9:$H$88,Fatture!$C$9:$C$88,$A13,Fatture!$K$9:$K$88,"Oltre 90 giorni"))</f>
        <v>0</v>
      </c>
      <c r="J13" s="14" t="n">
        <f aca="false">IF($A13="","",SUMIFS(Incassi!$C$5:$C$124,Incassi!$B$5:$B$124,$A13,Incassi!$D$5:$D$124,"",Incassi!$A$5:$A$124,"&lt;="&amp;Fatture!$C$4))</f>
        <v>3000</v>
      </c>
      <c r="K13" s="16" t="n">
        <f aca="false">IF($A13="","",IFERROR(SUMIFS(Fatture!$N$9:$N$88,Fatture!$C$9:$C$88,$A13)/SUMIFS(Fatture!$D$9:$D$88,Fatture!$C$9:$C$88,$A13,Fatture!$I$9:$I$88,"Incassata"),""))</f>
        <v>40</v>
      </c>
    </row>
    <row r="14" customFormat="false" ht="15" hidden="false" customHeight="false" outlineLevel="0" collapsed="false">
      <c r="A14" s="13" t="str">
        <f aca="false">IFERROR(INDEX(Fatture!$C$9:$C$88,MATCH(7,Fatture!$O$9:$O$88,0)),"")</f>
        <v>Eta Ottica</v>
      </c>
      <c r="B14" s="14" t="n">
        <f aca="false">IF($A14="","",SUMIFS(Fatture!$D$9:$D$88,Fatture!$C$9:$C$88,$A14,Fatture!$B$9:$B$88,"&lt;="&amp;Fatture!$C$4))</f>
        <v>32940</v>
      </c>
      <c r="C14" s="14" t="n">
        <f aca="false">IF($A14="","",SUMIFS(Fatture!$G$9:$G$88,Fatture!$C$9:$C$88,$A14,Fatture!$B$9:$B$88,"&lt;="&amp;Fatture!$C$4))</f>
        <v>29280</v>
      </c>
      <c r="D14" s="15" t="n">
        <f aca="false">IF($A14="","",SUM(E14:I14))</f>
        <v>3660</v>
      </c>
      <c r="E14" s="14" t="n">
        <f aca="false">IF($A14="","",SUMIFS(Fatture!$H$9:$H$88,Fatture!$C$9:$C$88,$A14,Fatture!$K$9:$K$88,"Non scaduto"))</f>
        <v>3660</v>
      </c>
      <c r="F14" s="14" t="n">
        <f aca="false">IF($A14="","",SUMIFS(Fatture!$H$9:$H$88,Fatture!$C$9:$C$88,$A14,Fatture!$K$9:$K$88,"1-30 giorni"))</f>
        <v>0</v>
      </c>
      <c r="G14" s="14" t="n">
        <f aca="false">IF($A14="","",SUMIFS(Fatture!$H$9:$H$88,Fatture!$C$9:$C$88,$A14,Fatture!$K$9:$K$88,"31-60 giorni"))</f>
        <v>0</v>
      </c>
      <c r="H14" s="14" t="n">
        <f aca="false">IF($A14="","",SUMIFS(Fatture!$H$9:$H$88,Fatture!$C$9:$C$88,$A14,Fatture!$K$9:$K$88,"61-90 giorni"))</f>
        <v>0</v>
      </c>
      <c r="I14" s="14" t="n">
        <f aca="false">IF($A14="","",SUMIFS(Fatture!$H$9:$H$88,Fatture!$C$9:$C$88,$A14,Fatture!$K$9:$K$88,"Oltre 90 giorni"))</f>
        <v>0</v>
      </c>
      <c r="J14" s="14" t="n">
        <f aca="false">IF($A14="","",SUMIFS(Incassi!$C$5:$C$124,Incassi!$B$5:$B$124,$A14,Incassi!$D$5:$D$124,"",Incassi!$A$5:$A$124,"&lt;="&amp;Fatture!$C$4))</f>
        <v>0</v>
      </c>
      <c r="K14" s="16" t="n">
        <f aca="false">IF($A14="","",IFERROR(SUMIFS(Fatture!$N$9:$N$88,Fatture!$C$9:$C$88,$A14)/SUMIFS(Fatture!$D$9:$D$88,Fatture!$C$9:$C$88,$A14,Fatture!$I$9:$I$88,"Incassata"),""))</f>
        <v>30</v>
      </c>
    </row>
    <row r="15" customFormat="false" ht="15" hidden="false" customHeight="false" outlineLevel="0" collapsed="false">
      <c r="A15" s="13" t="str">
        <f aca="false">IFERROR(INDEX(Fatture!$C$9:$C$88,MATCH(8,Fatture!$O$9:$O$88,0)),"")</f>
        <v>Theta Arredi</v>
      </c>
      <c r="B15" s="14" t="n">
        <f aca="false">IF($A15="","",SUMIFS(Fatture!$D$9:$D$88,Fatture!$C$9:$C$88,$A15,Fatture!$B$9:$B$88,"&lt;="&amp;Fatture!$C$4))</f>
        <v>65880</v>
      </c>
      <c r="C15" s="14" t="n">
        <f aca="false">IF($A15="","",SUMIFS(Fatture!$G$9:$G$88,Fatture!$C$9:$C$88,$A15,Fatture!$B$9:$B$88,"&lt;="&amp;Fatture!$C$4))</f>
        <v>43920</v>
      </c>
      <c r="D15" s="15" t="n">
        <f aca="false">IF($A15="","",SUM(E15:I15))</f>
        <v>21960</v>
      </c>
      <c r="E15" s="14" t="n">
        <f aca="false">IF($A15="","",SUMIFS(Fatture!$H$9:$H$88,Fatture!$C$9:$C$88,$A15,Fatture!$K$9:$K$88,"Non scaduto"))</f>
        <v>21960</v>
      </c>
      <c r="F15" s="14" t="n">
        <f aca="false">IF($A15="","",SUMIFS(Fatture!$H$9:$H$88,Fatture!$C$9:$C$88,$A15,Fatture!$K$9:$K$88,"1-30 giorni"))</f>
        <v>0</v>
      </c>
      <c r="G15" s="14" t="n">
        <f aca="false">IF($A15="","",SUMIFS(Fatture!$H$9:$H$88,Fatture!$C$9:$C$88,$A15,Fatture!$K$9:$K$88,"31-60 giorni"))</f>
        <v>0</v>
      </c>
      <c r="H15" s="14" t="n">
        <f aca="false">IF($A15="","",SUMIFS(Fatture!$H$9:$H$88,Fatture!$C$9:$C$88,$A15,Fatture!$K$9:$K$88,"61-90 giorni"))</f>
        <v>0</v>
      </c>
      <c r="I15" s="14" t="n">
        <f aca="false">IF($A15="","",SUMIFS(Fatture!$H$9:$H$88,Fatture!$C$9:$C$88,$A15,Fatture!$K$9:$K$88,"Oltre 90 giorni"))</f>
        <v>0</v>
      </c>
      <c r="J15" s="14" t="n">
        <f aca="false">IF($A15="","",SUMIFS(Incassi!$C$5:$C$124,Incassi!$B$5:$B$124,$A15,Incassi!$D$5:$D$124,"",Incassi!$A$5:$A$124,"&lt;="&amp;Fatture!$C$4))</f>
        <v>0</v>
      </c>
      <c r="K15" s="16" t="n">
        <f aca="false">IF($A15="","",IFERROR(SUMIFS(Fatture!$N$9:$N$88,Fatture!$C$9:$C$88,$A15)/SUMIFS(Fatture!$D$9:$D$88,Fatture!$C$9:$C$88,$A15,Fatture!$I$9:$I$88,"Incassata"),""))</f>
        <v>90</v>
      </c>
    </row>
    <row r="16" customFormat="false" ht="15" hidden="false" customHeight="false" outlineLevel="0" collapsed="false">
      <c r="A16" s="13" t="str">
        <f aca="false">IFERROR(INDEX(Fatture!$C$9:$C$88,MATCH(9,Fatture!$O$9:$O$88,0)),"")</f>
        <v/>
      </c>
      <c r="B16" s="14" t="str">
        <f aca="false">IF($A16="","",SUMIFS(Fatture!$D$9:$D$88,Fatture!$C$9:$C$88,$A16,Fatture!$B$9:$B$88,"&lt;="&amp;Fatture!$C$4))</f>
        <v/>
      </c>
      <c r="C16" s="14" t="str">
        <f aca="false">IF($A16="","",SUMIFS(Fatture!$G$9:$G$88,Fatture!$C$9:$C$88,$A16,Fatture!$B$9:$B$88,"&lt;="&amp;Fatture!$C$4))</f>
        <v/>
      </c>
      <c r="D16" s="15" t="str">
        <f aca="false">IF($A16="","",SUM(E16:I16))</f>
        <v/>
      </c>
      <c r="E16" s="14" t="str">
        <f aca="false">IF($A16="","",SUMIFS(Fatture!$H$9:$H$88,Fatture!$C$9:$C$88,$A16,Fatture!$K$9:$K$88,"Non scaduto"))</f>
        <v/>
      </c>
      <c r="F16" s="14" t="str">
        <f aca="false">IF($A16="","",SUMIFS(Fatture!$H$9:$H$88,Fatture!$C$9:$C$88,$A16,Fatture!$K$9:$K$88,"1-30 giorni"))</f>
        <v/>
      </c>
      <c r="G16" s="14" t="str">
        <f aca="false">IF($A16="","",SUMIFS(Fatture!$H$9:$H$88,Fatture!$C$9:$C$88,$A16,Fatture!$K$9:$K$88,"31-60 giorni"))</f>
        <v/>
      </c>
      <c r="H16" s="14" t="str">
        <f aca="false">IF($A16="","",SUMIFS(Fatture!$H$9:$H$88,Fatture!$C$9:$C$88,$A16,Fatture!$K$9:$K$88,"61-90 giorni"))</f>
        <v/>
      </c>
      <c r="I16" s="14" t="str">
        <f aca="false">IF($A16="","",SUMIFS(Fatture!$H$9:$H$88,Fatture!$C$9:$C$88,$A16,Fatture!$K$9:$K$88,"Oltre 90 giorni"))</f>
        <v/>
      </c>
      <c r="J16" s="14" t="str">
        <f aca="false">IF($A16="","",SUMIFS(Incassi!$C$5:$C$124,Incassi!$B$5:$B$124,$A16,Incassi!$D$5:$D$124,"",Incassi!$A$5:$A$124,"&lt;="&amp;Fatture!$C$4))</f>
        <v/>
      </c>
      <c r="K16" s="16" t="str">
        <f aca="false">IF($A16="","",IFERROR(SUMIFS(Fatture!$N$9:$N$88,Fatture!$C$9:$C$88,$A16)/SUMIFS(Fatture!$D$9:$D$88,Fatture!$C$9:$C$88,$A16,Fatture!$I$9:$I$88,"Incassata"),""))</f>
        <v/>
      </c>
    </row>
    <row r="17" customFormat="false" ht="15" hidden="false" customHeight="false" outlineLevel="0" collapsed="false">
      <c r="A17" s="13" t="str">
        <f aca="false">IFERROR(INDEX(Fatture!$C$9:$C$88,MATCH(10,Fatture!$O$9:$O$88,0)),"")</f>
        <v/>
      </c>
      <c r="B17" s="14" t="str">
        <f aca="false">IF($A17="","",SUMIFS(Fatture!$D$9:$D$88,Fatture!$C$9:$C$88,$A17,Fatture!$B$9:$B$88,"&lt;="&amp;Fatture!$C$4))</f>
        <v/>
      </c>
      <c r="C17" s="14" t="str">
        <f aca="false">IF($A17="","",SUMIFS(Fatture!$G$9:$G$88,Fatture!$C$9:$C$88,$A17,Fatture!$B$9:$B$88,"&lt;="&amp;Fatture!$C$4))</f>
        <v/>
      </c>
      <c r="D17" s="15" t="str">
        <f aca="false">IF($A17="","",SUM(E17:I17))</f>
        <v/>
      </c>
      <c r="E17" s="14" t="str">
        <f aca="false">IF($A17="","",SUMIFS(Fatture!$H$9:$H$88,Fatture!$C$9:$C$88,$A17,Fatture!$K$9:$K$88,"Non scaduto"))</f>
        <v/>
      </c>
      <c r="F17" s="14" t="str">
        <f aca="false">IF($A17="","",SUMIFS(Fatture!$H$9:$H$88,Fatture!$C$9:$C$88,$A17,Fatture!$K$9:$K$88,"1-30 giorni"))</f>
        <v/>
      </c>
      <c r="G17" s="14" t="str">
        <f aca="false">IF($A17="","",SUMIFS(Fatture!$H$9:$H$88,Fatture!$C$9:$C$88,$A17,Fatture!$K$9:$K$88,"31-60 giorni"))</f>
        <v/>
      </c>
      <c r="H17" s="14" t="str">
        <f aca="false">IF($A17="","",SUMIFS(Fatture!$H$9:$H$88,Fatture!$C$9:$C$88,$A17,Fatture!$K$9:$K$88,"61-90 giorni"))</f>
        <v/>
      </c>
      <c r="I17" s="14" t="str">
        <f aca="false">IF($A17="","",SUMIFS(Fatture!$H$9:$H$88,Fatture!$C$9:$C$88,$A17,Fatture!$K$9:$K$88,"Oltre 90 giorni"))</f>
        <v/>
      </c>
      <c r="J17" s="14" t="str">
        <f aca="false">IF($A17="","",SUMIFS(Incassi!$C$5:$C$124,Incassi!$B$5:$B$124,$A17,Incassi!$D$5:$D$124,"",Incassi!$A$5:$A$124,"&lt;="&amp;Fatture!$C$4))</f>
        <v/>
      </c>
      <c r="K17" s="16" t="str">
        <f aca="false">IF($A17="","",IFERROR(SUMIFS(Fatture!$N$9:$N$88,Fatture!$C$9:$C$88,$A17)/SUMIFS(Fatture!$D$9:$D$88,Fatture!$C$9:$C$88,$A17,Fatture!$I$9:$I$88,"Incassata"),""))</f>
        <v/>
      </c>
    </row>
    <row r="18" customFormat="false" ht="15" hidden="false" customHeight="false" outlineLevel="0" collapsed="false">
      <c r="A18" s="13" t="str">
        <f aca="false">IFERROR(INDEX(Fatture!$C$9:$C$88,MATCH(11,Fatture!$O$9:$O$88,0)),"")</f>
        <v/>
      </c>
      <c r="B18" s="14" t="str">
        <f aca="false">IF($A18="","",SUMIFS(Fatture!$D$9:$D$88,Fatture!$C$9:$C$88,$A18,Fatture!$B$9:$B$88,"&lt;="&amp;Fatture!$C$4))</f>
        <v/>
      </c>
      <c r="C18" s="14" t="str">
        <f aca="false">IF($A18="","",SUMIFS(Fatture!$G$9:$G$88,Fatture!$C$9:$C$88,$A18,Fatture!$B$9:$B$88,"&lt;="&amp;Fatture!$C$4))</f>
        <v/>
      </c>
      <c r="D18" s="15" t="str">
        <f aca="false">IF($A18="","",SUM(E18:I18))</f>
        <v/>
      </c>
      <c r="E18" s="14" t="str">
        <f aca="false">IF($A18="","",SUMIFS(Fatture!$H$9:$H$88,Fatture!$C$9:$C$88,$A18,Fatture!$K$9:$K$88,"Non scaduto"))</f>
        <v/>
      </c>
      <c r="F18" s="14" t="str">
        <f aca="false">IF($A18="","",SUMIFS(Fatture!$H$9:$H$88,Fatture!$C$9:$C$88,$A18,Fatture!$K$9:$K$88,"1-30 giorni"))</f>
        <v/>
      </c>
      <c r="G18" s="14" t="str">
        <f aca="false">IF($A18="","",SUMIFS(Fatture!$H$9:$H$88,Fatture!$C$9:$C$88,$A18,Fatture!$K$9:$K$88,"31-60 giorni"))</f>
        <v/>
      </c>
      <c r="H18" s="14" t="str">
        <f aca="false">IF($A18="","",SUMIFS(Fatture!$H$9:$H$88,Fatture!$C$9:$C$88,$A18,Fatture!$K$9:$K$88,"61-90 giorni"))</f>
        <v/>
      </c>
      <c r="I18" s="14" t="str">
        <f aca="false">IF($A18="","",SUMIFS(Fatture!$H$9:$H$88,Fatture!$C$9:$C$88,$A18,Fatture!$K$9:$K$88,"Oltre 90 giorni"))</f>
        <v/>
      </c>
      <c r="J18" s="14" t="str">
        <f aca="false">IF($A18="","",SUMIFS(Incassi!$C$5:$C$124,Incassi!$B$5:$B$124,$A18,Incassi!$D$5:$D$124,"",Incassi!$A$5:$A$124,"&lt;="&amp;Fatture!$C$4))</f>
        <v/>
      </c>
      <c r="K18" s="16" t="str">
        <f aca="false">IF($A18="","",IFERROR(SUMIFS(Fatture!$N$9:$N$88,Fatture!$C$9:$C$88,$A18)/SUMIFS(Fatture!$D$9:$D$88,Fatture!$C$9:$C$88,$A18,Fatture!$I$9:$I$88,"Incassata"),""))</f>
        <v/>
      </c>
    </row>
    <row r="19" customFormat="false" ht="15" hidden="false" customHeight="false" outlineLevel="0" collapsed="false">
      <c r="A19" s="13" t="str">
        <f aca="false">IFERROR(INDEX(Fatture!$C$9:$C$88,MATCH(12,Fatture!$O$9:$O$88,0)),"")</f>
        <v/>
      </c>
      <c r="B19" s="14" t="str">
        <f aca="false">IF($A19="","",SUMIFS(Fatture!$D$9:$D$88,Fatture!$C$9:$C$88,$A19,Fatture!$B$9:$B$88,"&lt;="&amp;Fatture!$C$4))</f>
        <v/>
      </c>
      <c r="C19" s="14" t="str">
        <f aca="false">IF($A19="","",SUMIFS(Fatture!$G$9:$G$88,Fatture!$C$9:$C$88,$A19,Fatture!$B$9:$B$88,"&lt;="&amp;Fatture!$C$4))</f>
        <v/>
      </c>
      <c r="D19" s="15" t="str">
        <f aca="false">IF($A19="","",SUM(E19:I19))</f>
        <v/>
      </c>
      <c r="E19" s="14" t="str">
        <f aca="false">IF($A19="","",SUMIFS(Fatture!$H$9:$H$88,Fatture!$C$9:$C$88,$A19,Fatture!$K$9:$K$88,"Non scaduto"))</f>
        <v/>
      </c>
      <c r="F19" s="14" t="str">
        <f aca="false">IF($A19="","",SUMIFS(Fatture!$H$9:$H$88,Fatture!$C$9:$C$88,$A19,Fatture!$K$9:$K$88,"1-30 giorni"))</f>
        <v/>
      </c>
      <c r="G19" s="14" t="str">
        <f aca="false">IF($A19="","",SUMIFS(Fatture!$H$9:$H$88,Fatture!$C$9:$C$88,$A19,Fatture!$K$9:$K$88,"31-60 giorni"))</f>
        <v/>
      </c>
      <c r="H19" s="14" t="str">
        <f aca="false">IF($A19="","",SUMIFS(Fatture!$H$9:$H$88,Fatture!$C$9:$C$88,$A19,Fatture!$K$9:$K$88,"61-90 giorni"))</f>
        <v/>
      </c>
      <c r="I19" s="14" t="str">
        <f aca="false">IF($A19="","",SUMIFS(Fatture!$H$9:$H$88,Fatture!$C$9:$C$88,$A19,Fatture!$K$9:$K$88,"Oltre 90 giorni"))</f>
        <v/>
      </c>
      <c r="J19" s="14" t="str">
        <f aca="false">IF($A19="","",SUMIFS(Incassi!$C$5:$C$124,Incassi!$B$5:$B$124,$A19,Incassi!$D$5:$D$124,"",Incassi!$A$5:$A$124,"&lt;="&amp;Fatture!$C$4))</f>
        <v/>
      </c>
      <c r="K19" s="16" t="str">
        <f aca="false">IF($A19="","",IFERROR(SUMIFS(Fatture!$N$9:$N$88,Fatture!$C$9:$C$88,$A19)/SUMIFS(Fatture!$D$9:$D$88,Fatture!$C$9:$C$88,$A19,Fatture!$I$9:$I$88,"Incassata"),""))</f>
        <v/>
      </c>
    </row>
    <row r="20" customFormat="false" ht="15" hidden="false" customHeight="false" outlineLevel="0" collapsed="false">
      <c r="A20" s="13" t="str">
        <f aca="false">IFERROR(INDEX(Fatture!$C$9:$C$88,MATCH(13,Fatture!$O$9:$O$88,0)),"")</f>
        <v/>
      </c>
      <c r="B20" s="14" t="str">
        <f aca="false">IF($A20="","",SUMIFS(Fatture!$D$9:$D$88,Fatture!$C$9:$C$88,$A20,Fatture!$B$9:$B$88,"&lt;="&amp;Fatture!$C$4))</f>
        <v/>
      </c>
      <c r="C20" s="14" t="str">
        <f aca="false">IF($A20="","",SUMIFS(Fatture!$G$9:$G$88,Fatture!$C$9:$C$88,$A20,Fatture!$B$9:$B$88,"&lt;="&amp;Fatture!$C$4))</f>
        <v/>
      </c>
      <c r="D20" s="15" t="str">
        <f aca="false">IF($A20="","",SUM(E20:I20))</f>
        <v/>
      </c>
      <c r="E20" s="14" t="str">
        <f aca="false">IF($A20="","",SUMIFS(Fatture!$H$9:$H$88,Fatture!$C$9:$C$88,$A20,Fatture!$K$9:$K$88,"Non scaduto"))</f>
        <v/>
      </c>
      <c r="F20" s="14" t="str">
        <f aca="false">IF($A20="","",SUMIFS(Fatture!$H$9:$H$88,Fatture!$C$9:$C$88,$A20,Fatture!$K$9:$K$88,"1-30 giorni"))</f>
        <v/>
      </c>
      <c r="G20" s="14" t="str">
        <f aca="false">IF($A20="","",SUMIFS(Fatture!$H$9:$H$88,Fatture!$C$9:$C$88,$A20,Fatture!$K$9:$K$88,"31-60 giorni"))</f>
        <v/>
      </c>
      <c r="H20" s="14" t="str">
        <f aca="false">IF($A20="","",SUMIFS(Fatture!$H$9:$H$88,Fatture!$C$9:$C$88,$A20,Fatture!$K$9:$K$88,"61-90 giorni"))</f>
        <v/>
      </c>
      <c r="I20" s="14" t="str">
        <f aca="false">IF($A20="","",SUMIFS(Fatture!$H$9:$H$88,Fatture!$C$9:$C$88,$A20,Fatture!$K$9:$K$88,"Oltre 90 giorni"))</f>
        <v/>
      </c>
      <c r="J20" s="14" t="str">
        <f aca="false">IF($A20="","",SUMIFS(Incassi!$C$5:$C$124,Incassi!$B$5:$B$124,$A20,Incassi!$D$5:$D$124,"",Incassi!$A$5:$A$124,"&lt;="&amp;Fatture!$C$4))</f>
        <v/>
      </c>
      <c r="K20" s="16" t="str">
        <f aca="false">IF($A20="","",IFERROR(SUMIFS(Fatture!$N$9:$N$88,Fatture!$C$9:$C$88,$A20)/SUMIFS(Fatture!$D$9:$D$88,Fatture!$C$9:$C$88,$A20,Fatture!$I$9:$I$88,"Incassata"),""))</f>
        <v/>
      </c>
    </row>
    <row r="21" customFormat="false" ht="15" hidden="false" customHeight="false" outlineLevel="0" collapsed="false">
      <c r="A21" s="13" t="str">
        <f aca="false">IFERROR(INDEX(Fatture!$C$9:$C$88,MATCH(14,Fatture!$O$9:$O$88,0)),"")</f>
        <v/>
      </c>
      <c r="B21" s="14" t="str">
        <f aca="false">IF($A21="","",SUMIFS(Fatture!$D$9:$D$88,Fatture!$C$9:$C$88,$A21,Fatture!$B$9:$B$88,"&lt;="&amp;Fatture!$C$4))</f>
        <v/>
      </c>
      <c r="C21" s="14" t="str">
        <f aca="false">IF($A21="","",SUMIFS(Fatture!$G$9:$G$88,Fatture!$C$9:$C$88,$A21,Fatture!$B$9:$B$88,"&lt;="&amp;Fatture!$C$4))</f>
        <v/>
      </c>
      <c r="D21" s="15" t="str">
        <f aca="false">IF($A21="","",SUM(E21:I21))</f>
        <v/>
      </c>
      <c r="E21" s="14" t="str">
        <f aca="false">IF($A21="","",SUMIFS(Fatture!$H$9:$H$88,Fatture!$C$9:$C$88,$A21,Fatture!$K$9:$K$88,"Non scaduto"))</f>
        <v/>
      </c>
      <c r="F21" s="14" t="str">
        <f aca="false">IF($A21="","",SUMIFS(Fatture!$H$9:$H$88,Fatture!$C$9:$C$88,$A21,Fatture!$K$9:$K$88,"1-30 giorni"))</f>
        <v/>
      </c>
      <c r="G21" s="14" t="str">
        <f aca="false">IF($A21="","",SUMIFS(Fatture!$H$9:$H$88,Fatture!$C$9:$C$88,$A21,Fatture!$K$9:$K$88,"31-60 giorni"))</f>
        <v/>
      </c>
      <c r="H21" s="14" t="str">
        <f aca="false">IF($A21="","",SUMIFS(Fatture!$H$9:$H$88,Fatture!$C$9:$C$88,$A21,Fatture!$K$9:$K$88,"61-90 giorni"))</f>
        <v/>
      </c>
      <c r="I21" s="14" t="str">
        <f aca="false">IF($A21="","",SUMIFS(Fatture!$H$9:$H$88,Fatture!$C$9:$C$88,$A21,Fatture!$K$9:$K$88,"Oltre 90 giorni"))</f>
        <v/>
      </c>
      <c r="J21" s="14" t="str">
        <f aca="false">IF($A21="","",SUMIFS(Incassi!$C$5:$C$124,Incassi!$B$5:$B$124,$A21,Incassi!$D$5:$D$124,"",Incassi!$A$5:$A$124,"&lt;="&amp;Fatture!$C$4))</f>
        <v/>
      </c>
      <c r="K21" s="16" t="str">
        <f aca="false">IF($A21="","",IFERROR(SUMIFS(Fatture!$N$9:$N$88,Fatture!$C$9:$C$88,$A21)/SUMIFS(Fatture!$D$9:$D$88,Fatture!$C$9:$C$88,$A21,Fatture!$I$9:$I$88,"Incassata"),""))</f>
        <v/>
      </c>
    </row>
    <row r="22" customFormat="false" ht="15" hidden="false" customHeight="false" outlineLevel="0" collapsed="false">
      <c r="A22" s="13" t="str">
        <f aca="false">IFERROR(INDEX(Fatture!$C$9:$C$88,MATCH(15,Fatture!$O$9:$O$88,0)),"")</f>
        <v/>
      </c>
      <c r="B22" s="14" t="str">
        <f aca="false">IF($A22="","",SUMIFS(Fatture!$D$9:$D$88,Fatture!$C$9:$C$88,$A22,Fatture!$B$9:$B$88,"&lt;="&amp;Fatture!$C$4))</f>
        <v/>
      </c>
      <c r="C22" s="14" t="str">
        <f aca="false">IF($A22="","",SUMIFS(Fatture!$G$9:$G$88,Fatture!$C$9:$C$88,$A22,Fatture!$B$9:$B$88,"&lt;="&amp;Fatture!$C$4))</f>
        <v/>
      </c>
      <c r="D22" s="15" t="str">
        <f aca="false">IF($A22="","",SUM(E22:I22))</f>
        <v/>
      </c>
      <c r="E22" s="14" t="str">
        <f aca="false">IF($A22="","",SUMIFS(Fatture!$H$9:$H$88,Fatture!$C$9:$C$88,$A22,Fatture!$K$9:$K$88,"Non scaduto"))</f>
        <v/>
      </c>
      <c r="F22" s="14" t="str">
        <f aca="false">IF($A22="","",SUMIFS(Fatture!$H$9:$H$88,Fatture!$C$9:$C$88,$A22,Fatture!$K$9:$K$88,"1-30 giorni"))</f>
        <v/>
      </c>
      <c r="G22" s="14" t="str">
        <f aca="false">IF($A22="","",SUMIFS(Fatture!$H$9:$H$88,Fatture!$C$9:$C$88,$A22,Fatture!$K$9:$K$88,"31-60 giorni"))</f>
        <v/>
      </c>
      <c r="H22" s="14" t="str">
        <f aca="false">IF($A22="","",SUMIFS(Fatture!$H$9:$H$88,Fatture!$C$9:$C$88,$A22,Fatture!$K$9:$K$88,"61-90 giorni"))</f>
        <v/>
      </c>
      <c r="I22" s="14" t="str">
        <f aca="false">IF($A22="","",SUMIFS(Fatture!$H$9:$H$88,Fatture!$C$9:$C$88,$A22,Fatture!$K$9:$K$88,"Oltre 90 giorni"))</f>
        <v/>
      </c>
      <c r="J22" s="14" t="str">
        <f aca="false">IF($A22="","",SUMIFS(Incassi!$C$5:$C$124,Incassi!$B$5:$B$124,$A22,Incassi!$D$5:$D$124,"",Incassi!$A$5:$A$124,"&lt;="&amp;Fatture!$C$4))</f>
        <v/>
      </c>
      <c r="K22" s="16" t="str">
        <f aca="false">IF($A22="","",IFERROR(SUMIFS(Fatture!$N$9:$N$88,Fatture!$C$9:$C$88,$A22)/SUMIFS(Fatture!$D$9:$D$88,Fatture!$C$9:$C$88,$A22,Fatture!$I$9:$I$88,"Incassata"),""))</f>
        <v/>
      </c>
    </row>
    <row r="23" customFormat="false" ht="15" hidden="false" customHeight="false" outlineLevel="0" collapsed="false">
      <c r="A23" s="13" t="str">
        <f aca="false">IFERROR(INDEX(Fatture!$C$9:$C$88,MATCH(16,Fatture!$O$9:$O$88,0)),"")</f>
        <v/>
      </c>
      <c r="B23" s="14" t="str">
        <f aca="false">IF($A23="","",SUMIFS(Fatture!$D$9:$D$88,Fatture!$C$9:$C$88,$A23,Fatture!$B$9:$B$88,"&lt;="&amp;Fatture!$C$4))</f>
        <v/>
      </c>
      <c r="C23" s="14" t="str">
        <f aca="false">IF($A23="","",SUMIFS(Fatture!$G$9:$G$88,Fatture!$C$9:$C$88,$A23,Fatture!$B$9:$B$88,"&lt;="&amp;Fatture!$C$4))</f>
        <v/>
      </c>
      <c r="D23" s="15" t="str">
        <f aca="false">IF($A23="","",SUM(E23:I23))</f>
        <v/>
      </c>
      <c r="E23" s="14" t="str">
        <f aca="false">IF($A23="","",SUMIFS(Fatture!$H$9:$H$88,Fatture!$C$9:$C$88,$A23,Fatture!$K$9:$K$88,"Non scaduto"))</f>
        <v/>
      </c>
      <c r="F23" s="14" t="str">
        <f aca="false">IF($A23="","",SUMIFS(Fatture!$H$9:$H$88,Fatture!$C$9:$C$88,$A23,Fatture!$K$9:$K$88,"1-30 giorni"))</f>
        <v/>
      </c>
      <c r="G23" s="14" t="str">
        <f aca="false">IF($A23="","",SUMIFS(Fatture!$H$9:$H$88,Fatture!$C$9:$C$88,$A23,Fatture!$K$9:$K$88,"31-60 giorni"))</f>
        <v/>
      </c>
      <c r="H23" s="14" t="str">
        <f aca="false">IF($A23="","",SUMIFS(Fatture!$H$9:$H$88,Fatture!$C$9:$C$88,$A23,Fatture!$K$9:$K$88,"61-90 giorni"))</f>
        <v/>
      </c>
      <c r="I23" s="14" t="str">
        <f aca="false">IF($A23="","",SUMIFS(Fatture!$H$9:$H$88,Fatture!$C$9:$C$88,$A23,Fatture!$K$9:$K$88,"Oltre 90 giorni"))</f>
        <v/>
      </c>
      <c r="J23" s="14" t="str">
        <f aca="false">IF($A23="","",SUMIFS(Incassi!$C$5:$C$124,Incassi!$B$5:$B$124,$A23,Incassi!$D$5:$D$124,"",Incassi!$A$5:$A$124,"&lt;="&amp;Fatture!$C$4))</f>
        <v/>
      </c>
      <c r="K23" s="16" t="str">
        <f aca="false">IF($A23="","",IFERROR(SUMIFS(Fatture!$N$9:$N$88,Fatture!$C$9:$C$88,$A23)/SUMIFS(Fatture!$D$9:$D$88,Fatture!$C$9:$C$88,$A23,Fatture!$I$9:$I$88,"Incassata"),""))</f>
        <v/>
      </c>
    </row>
    <row r="24" customFormat="false" ht="15" hidden="false" customHeight="false" outlineLevel="0" collapsed="false">
      <c r="A24" s="13" t="str">
        <f aca="false">IFERROR(INDEX(Fatture!$C$9:$C$88,MATCH(17,Fatture!$O$9:$O$88,0)),"")</f>
        <v/>
      </c>
      <c r="B24" s="14" t="str">
        <f aca="false">IF($A24="","",SUMIFS(Fatture!$D$9:$D$88,Fatture!$C$9:$C$88,$A24,Fatture!$B$9:$B$88,"&lt;="&amp;Fatture!$C$4))</f>
        <v/>
      </c>
      <c r="C24" s="14" t="str">
        <f aca="false">IF($A24="","",SUMIFS(Fatture!$G$9:$G$88,Fatture!$C$9:$C$88,$A24,Fatture!$B$9:$B$88,"&lt;="&amp;Fatture!$C$4))</f>
        <v/>
      </c>
      <c r="D24" s="15" t="str">
        <f aca="false">IF($A24="","",SUM(E24:I24))</f>
        <v/>
      </c>
      <c r="E24" s="14" t="str">
        <f aca="false">IF($A24="","",SUMIFS(Fatture!$H$9:$H$88,Fatture!$C$9:$C$88,$A24,Fatture!$K$9:$K$88,"Non scaduto"))</f>
        <v/>
      </c>
      <c r="F24" s="14" t="str">
        <f aca="false">IF($A24="","",SUMIFS(Fatture!$H$9:$H$88,Fatture!$C$9:$C$88,$A24,Fatture!$K$9:$K$88,"1-30 giorni"))</f>
        <v/>
      </c>
      <c r="G24" s="14" t="str">
        <f aca="false">IF($A24="","",SUMIFS(Fatture!$H$9:$H$88,Fatture!$C$9:$C$88,$A24,Fatture!$K$9:$K$88,"31-60 giorni"))</f>
        <v/>
      </c>
      <c r="H24" s="14" t="str">
        <f aca="false">IF($A24="","",SUMIFS(Fatture!$H$9:$H$88,Fatture!$C$9:$C$88,$A24,Fatture!$K$9:$K$88,"61-90 giorni"))</f>
        <v/>
      </c>
      <c r="I24" s="14" t="str">
        <f aca="false">IF($A24="","",SUMIFS(Fatture!$H$9:$H$88,Fatture!$C$9:$C$88,$A24,Fatture!$K$9:$K$88,"Oltre 90 giorni"))</f>
        <v/>
      </c>
      <c r="J24" s="14" t="str">
        <f aca="false">IF($A24="","",SUMIFS(Incassi!$C$5:$C$124,Incassi!$B$5:$B$124,$A24,Incassi!$D$5:$D$124,"",Incassi!$A$5:$A$124,"&lt;="&amp;Fatture!$C$4))</f>
        <v/>
      </c>
      <c r="K24" s="16" t="str">
        <f aca="false">IF($A24="","",IFERROR(SUMIFS(Fatture!$N$9:$N$88,Fatture!$C$9:$C$88,$A24)/SUMIFS(Fatture!$D$9:$D$88,Fatture!$C$9:$C$88,$A24,Fatture!$I$9:$I$88,"Incassata"),""))</f>
        <v/>
      </c>
    </row>
    <row r="25" customFormat="false" ht="15" hidden="false" customHeight="false" outlineLevel="0" collapsed="false">
      <c r="A25" s="13" t="str">
        <f aca="false">IFERROR(INDEX(Fatture!$C$9:$C$88,MATCH(18,Fatture!$O$9:$O$88,0)),"")</f>
        <v/>
      </c>
      <c r="B25" s="14" t="str">
        <f aca="false">IF($A25="","",SUMIFS(Fatture!$D$9:$D$88,Fatture!$C$9:$C$88,$A25,Fatture!$B$9:$B$88,"&lt;="&amp;Fatture!$C$4))</f>
        <v/>
      </c>
      <c r="C25" s="14" t="str">
        <f aca="false">IF($A25="","",SUMIFS(Fatture!$G$9:$G$88,Fatture!$C$9:$C$88,$A25,Fatture!$B$9:$B$88,"&lt;="&amp;Fatture!$C$4))</f>
        <v/>
      </c>
      <c r="D25" s="15" t="str">
        <f aca="false">IF($A25="","",SUM(E25:I25))</f>
        <v/>
      </c>
      <c r="E25" s="14" t="str">
        <f aca="false">IF($A25="","",SUMIFS(Fatture!$H$9:$H$88,Fatture!$C$9:$C$88,$A25,Fatture!$K$9:$K$88,"Non scaduto"))</f>
        <v/>
      </c>
      <c r="F25" s="14" t="str">
        <f aca="false">IF($A25="","",SUMIFS(Fatture!$H$9:$H$88,Fatture!$C$9:$C$88,$A25,Fatture!$K$9:$K$88,"1-30 giorni"))</f>
        <v/>
      </c>
      <c r="G25" s="14" t="str">
        <f aca="false">IF($A25="","",SUMIFS(Fatture!$H$9:$H$88,Fatture!$C$9:$C$88,$A25,Fatture!$K$9:$K$88,"31-60 giorni"))</f>
        <v/>
      </c>
      <c r="H25" s="14" t="str">
        <f aca="false">IF($A25="","",SUMIFS(Fatture!$H$9:$H$88,Fatture!$C$9:$C$88,$A25,Fatture!$K$9:$K$88,"61-90 giorni"))</f>
        <v/>
      </c>
      <c r="I25" s="14" t="str">
        <f aca="false">IF($A25="","",SUMIFS(Fatture!$H$9:$H$88,Fatture!$C$9:$C$88,$A25,Fatture!$K$9:$K$88,"Oltre 90 giorni"))</f>
        <v/>
      </c>
      <c r="J25" s="14" t="str">
        <f aca="false">IF($A25="","",SUMIFS(Incassi!$C$5:$C$124,Incassi!$B$5:$B$124,$A25,Incassi!$D$5:$D$124,"",Incassi!$A$5:$A$124,"&lt;="&amp;Fatture!$C$4))</f>
        <v/>
      </c>
      <c r="K25" s="16" t="str">
        <f aca="false">IF($A25="","",IFERROR(SUMIFS(Fatture!$N$9:$N$88,Fatture!$C$9:$C$88,$A25)/SUMIFS(Fatture!$D$9:$D$88,Fatture!$C$9:$C$88,$A25,Fatture!$I$9:$I$88,"Incassata"),""))</f>
        <v/>
      </c>
    </row>
    <row r="26" customFormat="false" ht="15" hidden="false" customHeight="false" outlineLevel="0" collapsed="false">
      <c r="A26" s="13" t="str">
        <f aca="false">IFERROR(INDEX(Fatture!$C$9:$C$88,MATCH(19,Fatture!$O$9:$O$88,0)),"")</f>
        <v/>
      </c>
      <c r="B26" s="14" t="str">
        <f aca="false">IF($A26="","",SUMIFS(Fatture!$D$9:$D$88,Fatture!$C$9:$C$88,$A26,Fatture!$B$9:$B$88,"&lt;="&amp;Fatture!$C$4))</f>
        <v/>
      </c>
      <c r="C26" s="14" t="str">
        <f aca="false">IF($A26="","",SUMIFS(Fatture!$G$9:$G$88,Fatture!$C$9:$C$88,$A26,Fatture!$B$9:$B$88,"&lt;="&amp;Fatture!$C$4))</f>
        <v/>
      </c>
      <c r="D26" s="15" t="str">
        <f aca="false">IF($A26="","",SUM(E26:I26))</f>
        <v/>
      </c>
      <c r="E26" s="14" t="str">
        <f aca="false">IF($A26="","",SUMIFS(Fatture!$H$9:$H$88,Fatture!$C$9:$C$88,$A26,Fatture!$K$9:$K$88,"Non scaduto"))</f>
        <v/>
      </c>
      <c r="F26" s="14" t="str">
        <f aca="false">IF($A26="","",SUMIFS(Fatture!$H$9:$H$88,Fatture!$C$9:$C$88,$A26,Fatture!$K$9:$K$88,"1-30 giorni"))</f>
        <v/>
      </c>
      <c r="G26" s="14" t="str">
        <f aca="false">IF($A26="","",SUMIFS(Fatture!$H$9:$H$88,Fatture!$C$9:$C$88,$A26,Fatture!$K$9:$K$88,"31-60 giorni"))</f>
        <v/>
      </c>
      <c r="H26" s="14" t="str">
        <f aca="false">IF($A26="","",SUMIFS(Fatture!$H$9:$H$88,Fatture!$C$9:$C$88,$A26,Fatture!$K$9:$K$88,"61-90 giorni"))</f>
        <v/>
      </c>
      <c r="I26" s="14" t="str">
        <f aca="false">IF($A26="","",SUMIFS(Fatture!$H$9:$H$88,Fatture!$C$9:$C$88,$A26,Fatture!$K$9:$K$88,"Oltre 90 giorni"))</f>
        <v/>
      </c>
      <c r="J26" s="14" t="str">
        <f aca="false">IF($A26="","",SUMIFS(Incassi!$C$5:$C$124,Incassi!$B$5:$B$124,$A26,Incassi!$D$5:$D$124,"",Incassi!$A$5:$A$124,"&lt;="&amp;Fatture!$C$4))</f>
        <v/>
      </c>
      <c r="K26" s="16" t="str">
        <f aca="false">IF($A26="","",IFERROR(SUMIFS(Fatture!$N$9:$N$88,Fatture!$C$9:$C$88,$A26)/SUMIFS(Fatture!$D$9:$D$88,Fatture!$C$9:$C$88,$A26,Fatture!$I$9:$I$88,"Incassata"),""))</f>
        <v/>
      </c>
    </row>
    <row r="27" customFormat="false" ht="15" hidden="false" customHeight="false" outlineLevel="0" collapsed="false">
      <c r="A27" s="13" t="str">
        <f aca="false">IFERROR(INDEX(Fatture!$C$9:$C$88,MATCH(20,Fatture!$O$9:$O$88,0)),"")</f>
        <v/>
      </c>
      <c r="B27" s="14" t="str">
        <f aca="false">IF($A27="","",SUMIFS(Fatture!$D$9:$D$88,Fatture!$C$9:$C$88,$A27,Fatture!$B$9:$B$88,"&lt;="&amp;Fatture!$C$4))</f>
        <v/>
      </c>
      <c r="C27" s="14" t="str">
        <f aca="false">IF($A27="","",SUMIFS(Fatture!$G$9:$G$88,Fatture!$C$9:$C$88,$A27,Fatture!$B$9:$B$88,"&lt;="&amp;Fatture!$C$4))</f>
        <v/>
      </c>
      <c r="D27" s="15" t="str">
        <f aca="false">IF($A27="","",SUM(E27:I27))</f>
        <v/>
      </c>
      <c r="E27" s="14" t="str">
        <f aca="false">IF($A27="","",SUMIFS(Fatture!$H$9:$H$88,Fatture!$C$9:$C$88,$A27,Fatture!$K$9:$K$88,"Non scaduto"))</f>
        <v/>
      </c>
      <c r="F27" s="14" t="str">
        <f aca="false">IF($A27="","",SUMIFS(Fatture!$H$9:$H$88,Fatture!$C$9:$C$88,$A27,Fatture!$K$9:$K$88,"1-30 giorni"))</f>
        <v/>
      </c>
      <c r="G27" s="14" t="str">
        <f aca="false">IF($A27="","",SUMIFS(Fatture!$H$9:$H$88,Fatture!$C$9:$C$88,$A27,Fatture!$K$9:$K$88,"31-60 giorni"))</f>
        <v/>
      </c>
      <c r="H27" s="14" t="str">
        <f aca="false">IF($A27="","",SUMIFS(Fatture!$H$9:$H$88,Fatture!$C$9:$C$88,$A27,Fatture!$K$9:$K$88,"61-90 giorni"))</f>
        <v/>
      </c>
      <c r="I27" s="14" t="str">
        <f aca="false">IF($A27="","",SUMIFS(Fatture!$H$9:$H$88,Fatture!$C$9:$C$88,$A27,Fatture!$K$9:$K$88,"Oltre 90 giorni"))</f>
        <v/>
      </c>
      <c r="J27" s="14" t="str">
        <f aca="false">IF($A27="","",SUMIFS(Incassi!$C$5:$C$124,Incassi!$B$5:$B$124,$A27,Incassi!$D$5:$D$124,"",Incassi!$A$5:$A$124,"&lt;="&amp;Fatture!$C$4))</f>
        <v/>
      </c>
      <c r="K27" s="16" t="str">
        <f aca="false">IF($A27="","",IFERROR(SUMIFS(Fatture!$N$9:$N$88,Fatture!$C$9:$C$88,$A27)/SUMIFS(Fatture!$D$9:$D$88,Fatture!$C$9:$C$88,$A27,Fatture!$I$9:$I$88,"Incassata"),""))</f>
        <v/>
      </c>
    </row>
    <row r="28" customFormat="false" ht="15" hidden="false" customHeight="false" outlineLevel="0" collapsed="false">
      <c r="A28" s="13" t="str">
        <f aca="false">IFERROR(INDEX(Fatture!$C$9:$C$88,MATCH(21,Fatture!$O$9:$O$88,0)),"")</f>
        <v/>
      </c>
      <c r="B28" s="14" t="str">
        <f aca="false">IF($A28="","",SUMIFS(Fatture!$D$9:$D$88,Fatture!$C$9:$C$88,$A28,Fatture!$B$9:$B$88,"&lt;="&amp;Fatture!$C$4))</f>
        <v/>
      </c>
      <c r="C28" s="14" t="str">
        <f aca="false">IF($A28="","",SUMIFS(Fatture!$G$9:$G$88,Fatture!$C$9:$C$88,$A28,Fatture!$B$9:$B$88,"&lt;="&amp;Fatture!$C$4))</f>
        <v/>
      </c>
      <c r="D28" s="15" t="str">
        <f aca="false">IF($A28="","",SUM(E28:I28))</f>
        <v/>
      </c>
      <c r="E28" s="14" t="str">
        <f aca="false">IF($A28="","",SUMIFS(Fatture!$H$9:$H$88,Fatture!$C$9:$C$88,$A28,Fatture!$K$9:$K$88,"Non scaduto"))</f>
        <v/>
      </c>
      <c r="F28" s="14" t="str">
        <f aca="false">IF($A28="","",SUMIFS(Fatture!$H$9:$H$88,Fatture!$C$9:$C$88,$A28,Fatture!$K$9:$K$88,"1-30 giorni"))</f>
        <v/>
      </c>
      <c r="G28" s="14" t="str">
        <f aca="false">IF($A28="","",SUMIFS(Fatture!$H$9:$H$88,Fatture!$C$9:$C$88,$A28,Fatture!$K$9:$K$88,"31-60 giorni"))</f>
        <v/>
      </c>
      <c r="H28" s="14" t="str">
        <f aca="false">IF($A28="","",SUMIFS(Fatture!$H$9:$H$88,Fatture!$C$9:$C$88,$A28,Fatture!$K$9:$K$88,"61-90 giorni"))</f>
        <v/>
      </c>
      <c r="I28" s="14" t="str">
        <f aca="false">IF($A28="","",SUMIFS(Fatture!$H$9:$H$88,Fatture!$C$9:$C$88,$A28,Fatture!$K$9:$K$88,"Oltre 90 giorni"))</f>
        <v/>
      </c>
      <c r="J28" s="14" t="str">
        <f aca="false">IF($A28="","",SUMIFS(Incassi!$C$5:$C$124,Incassi!$B$5:$B$124,$A28,Incassi!$D$5:$D$124,"",Incassi!$A$5:$A$124,"&lt;="&amp;Fatture!$C$4))</f>
        <v/>
      </c>
      <c r="K28" s="16" t="str">
        <f aca="false">IF($A28="","",IFERROR(SUMIFS(Fatture!$N$9:$N$88,Fatture!$C$9:$C$88,$A28)/SUMIFS(Fatture!$D$9:$D$88,Fatture!$C$9:$C$88,$A28,Fatture!$I$9:$I$88,"Incassata"),""))</f>
        <v/>
      </c>
    </row>
    <row r="29" customFormat="false" ht="15" hidden="false" customHeight="false" outlineLevel="0" collapsed="false">
      <c r="A29" s="13" t="str">
        <f aca="false">IFERROR(INDEX(Fatture!$C$9:$C$88,MATCH(22,Fatture!$O$9:$O$88,0)),"")</f>
        <v/>
      </c>
      <c r="B29" s="14" t="str">
        <f aca="false">IF($A29="","",SUMIFS(Fatture!$D$9:$D$88,Fatture!$C$9:$C$88,$A29,Fatture!$B$9:$B$88,"&lt;="&amp;Fatture!$C$4))</f>
        <v/>
      </c>
      <c r="C29" s="14" t="str">
        <f aca="false">IF($A29="","",SUMIFS(Fatture!$G$9:$G$88,Fatture!$C$9:$C$88,$A29,Fatture!$B$9:$B$88,"&lt;="&amp;Fatture!$C$4))</f>
        <v/>
      </c>
      <c r="D29" s="15" t="str">
        <f aca="false">IF($A29="","",SUM(E29:I29))</f>
        <v/>
      </c>
      <c r="E29" s="14" t="str">
        <f aca="false">IF($A29="","",SUMIFS(Fatture!$H$9:$H$88,Fatture!$C$9:$C$88,$A29,Fatture!$K$9:$K$88,"Non scaduto"))</f>
        <v/>
      </c>
      <c r="F29" s="14" t="str">
        <f aca="false">IF($A29="","",SUMIFS(Fatture!$H$9:$H$88,Fatture!$C$9:$C$88,$A29,Fatture!$K$9:$K$88,"1-30 giorni"))</f>
        <v/>
      </c>
      <c r="G29" s="14" t="str">
        <f aca="false">IF($A29="","",SUMIFS(Fatture!$H$9:$H$88,Fatture!$C$9:$C$88,$A29,Fatture!$K$9:$K$88,"31-60 giorni"))</f>
        <v/>
      </c>
      <c r="H29" s="14" t="str">
        <f aca="false">IF($A29="","",SUMIFS(Fatture!$H$9:$H$88,Fatture!$C$9:$C$88,$A29,Fatture!$K$9:$K$88,"61-90 giorni"))</f>
        <v/>
      </c>
      <c r="I29" s="14" t="str">
        <f aca="false">IF($A29="","",SUMIFS(Fatture!$H$9:$H$88,Fatture!$C$9:$C$88,$A29,Fatture!$K$9:$K$88,"Oltre 90 giorni"))</f>
        <v/>
      </c>
      <c r="J29" s="14" t="str">
        <f aca="false">IF($A29="","",SUMIFS(Incassi!$C$5:$C$124,Incassi!$B$5:$B$124,$A29,Incassi!$D$5:$D$124,"",Incassi!$A$5:$A$124,"&lt;="&amp;Fatture!$C$4))</f>
        <v/>
      </c>
      <c r="K29" s="16" t="str">
        <f aca="false">IF($A29="","",IFERROR(SUMIFS(Fatture!$N$9:$N$88,Fatture!$C$9:$C$88,$A29)/SUMIFS(Fatture!$D$9:$D$88,Fatture!$C$9:$C$88,$A29,Fatture!$I$9:$I$88,"Incassata"),""))</f>
        <v/>
      </c>
    </row>
    <row r="30" customFormat="false" ht="15" hidden="false" customHeight="false" outlineLevel="0" collapsed="false">
      <c r="A30" s="13" t="str">
        <f aca="false">IFERROR(INDEX(Fatture!$C$9:$C$88,MATCH(23,Fatture!$O$9:$O$88,0)),"")</f>
        <v/>
      </c>
      <c r="B30" s="14" t="str">
        <f aca="false">IF($A30="","",SUMIFS(Fatture!$D$9:$D$88,Fatture!$C$9:$C$88,$A30,Fatture!$B$9:$B$88,"&lt;="&amp;Fatture!$C$4))</f>
        <v/>
      </c>
      <c r="C30" s="14" t="str">
        <f aca="false">IF($A30="","",SUMIFS(Fatture!$G$9:$G$88,Fatture!$C$9:$C$88,$A30,Fatture!$B$9:$B$88,"&lt;="&amp;Fatture!$C$4))</f>
        <v/>
      </c>
      <c r="D30" s="15" t="str">
        <f aca="false">IF($A30="","",SUM(E30:I30))</f>
        <v/>
      </c>
      <c r="E30" s="14" t="str">
        <f aca="false">IF($A30="","",SUMIFS(Fatture!$H$9:$H$88,Fatture!$C$9:$C$88,$A30,Fatture!$K$9:$K$88,"Non scaduto"))</f>
        <v/>
      </c>
      <c r="F30" s="14" t="str">
        <f aca="false">IF($A30="","",SUMIFS(Fatture!$H$9:$H$88,Fatture!$C$9:$C$88,$A30,Fatture!$K$9:$K$88,"1-30 giorni"))</f>
        <v/>
      </c>
      <c r="G30" s="14" t="str">
        <f aca="false">IF($A30="","",SUMIFS(Fatture!$H$9:$H$88,Fatture!$C$9:$C$88,$A30,Fatture!$K$9:$K$88,"31-60 giorni"))</f>
        <v/>
      </c>
      <c r="H30" s="14" t="str">
        <f aca="false">IF($A30="","",SUMIFS(Fatture!$H$9:$H$88,Fatture!$C$9:$C$88,$A30,Fatture!$K$9:$K$88,"61-90 giorni"))</f>
        <v/>
      </c>
      <c r="I30" s="14" t="str">
        <f aca="false">IF($A30="","",SUMIFS(Fatture!$H$9:$H$88,Fatture!$C$9:$C$88,$A30,Fatture!$K$9:$K$88,"Oltre 90 giorni"))</f>
        <v/>
      </c>
      <c r="J30" s="14" t="str">
        <f aca="false">IF($A30="","",SUMIFS(Incassi!$C$5:$C$124,Incassi!$B$5:$B$124,$A30,Incassi!$D$5:$D$124,"",Incassi!$A$5:$A$124,"&lt;="&amp;Fatture!$C$4))</f>
        <v/>
      </c>
      <c r="K30" s="16" t="str">
        <f aca="false">IF($A30="","",IFERROR(SUMIFS(Fatture!$N$9:$N$88,Fatture!$C$9:$C$88,$A30)/SUMIFS(Fatture!$D$9:$D$88,Fatture!$C$9:$C$88,$A30,Fatture!$I$9:$I$88,"Incassata"),""))</f>
        <v/>
      </c>
    </row>
    <row r="31" customFormat="false" ht="15" hidden="false" customHeight="false" outlineLevel="0" collapsed="false">
      <c r="A31" s="13" t="str">
        <f aca="false">IFERROR(INDEX(Fatture!$C$9:$C$88,MATCH(24,Fatture!$O$9:$O$88,0)),"")</f>
        <v/>
      </c>
      <c r="B31" s="14" t="str">
        <f aca="false">IF($A31="","",SUMIFS(Fatture!$D$9:$D$88,Fatture!$C$9:$C$88,$A31,Fatture!$B$9:$B$88,"&lt;="&amp;Fatture!$C$4))</f>
        <v/>
      </c>
      <c r="C31" s="14" t="str">
        <f aca="false">IF($A31="","",SUMIFS(Fatture!$G$9:$G$88,Fatture!$C$9:$C$88,$A31,Fatture!$B$9:$B$88,"&lt;="&amp;Fatture!$C$4))</f>
        <v/>
      </c>
      <c r="D31" s="15" t="str">
        <f aca="false">IF($A31="","",SUM(E31:I31))</f>
        <v/>
      </c>
      <c r="E31" s="14" t="str">
        <f aca="false">IF($A31="","",SUMIFS(Fatture!$H$9:$H$88,Fatture!$C$9:$C$88,$A31,Fatture!$K$9:$K$88,"Non scaduto"))</f>
        <v/>
      </c>
      <c r="F31" s="14" t="str">
        <f aca="false">IF($A31="","",SUMIFS(Fatture!$H$9:$H$88,Fatture!$C$9:$C$88,$A31,Fatture!$K$9:$K$88,"1-30 giorni"))</f>
        <v/>
      </c>
      <c r="G31" s="14" t="str">
        <f aca="false">IF($A31="","",SUMIFS(Fatture!$H$9:$H$88,Fatture!$C$9:$C$88,$A31,Fatture!$K$9:$K$88,"31-60 giorni"))</f>
        <v/>
      </c>
      <c r="H31" s="14" t="str">
        <f aca="false">IF($A31="","",SUMIFS(Fatture!$H$9:$H$88,Fatture!$C$9:$C$88,$A31,Fatture!$K$9:$K$88,"61-90 giorni"))</f>
        <v/>
      </c>
      <c r="I31" s="14" t="str">
        <f aca="false">IF($A31="","",SUMIFS(Fatture!$H$9:$H$88,Fatture!$C$9:$C$88,$A31,Fatture!$K$9:$K$88,"Oltre 90 giorni"))</f>
        <v/>
      </c>
      <c r="J31" s="14" t="str">
        <f aca="false">IF($A31="","",SUMIFS(Incassi!$C$5:$C$124,Incassi!$B$5:$B$124,$A31,Incassi!$D$5:$D$124,"",Incassi!$A$5:$A$124,"&lt;="&amp;Fatture!$C$4))</f>
        <v/>
      </c>
      <c r="K31" s="16" t="str">
        <f aca="false">IF($A31="","",IFERROR(SUMIFS(Fatture!$N$9:$N$88,Fatture!$C$9:$C$88,$A31)/SUMIFS(Fatture!$D$9:$D$88,Fatture!$C$9:$C$88,$A31,Fatture!$I$9:$I$88,"Incassata"),""))</f>
        <v/>
      </c>
    </row>
    <row r="32" customFormat="false" ht="15" hidden="false" customHeight="false" outlineLevel="0" collapsed="false">
      <c r="A32" s="13" t="str">
        <f aca="false">IFERROR(INDEX(Fatture!$C$9:$C$88,MATCH(25,Fatture!$O$9:$O$88,0)),"")</f>
        <v/>
      </c>
      <c r="B32" s="14" t="str">
        <f aca="false">IF($A32="","",SUMIFS(Fatture!$D$9:$D$88,Fatture!$C$9:$C$88,$A32,Fatture!$B$9:$B$88,"&lt;="&amp;Fatture!$C$4))</f>
        <v/>
      </c>
      <c r="C32" s="14" t="str">
        <f aca="false">IF($A32="","",SUMIFS(Fatture!$G$9:$G$88,Fatture!$C$9:$C$88,$A32,Fatture!$B$9:$B$88,"&lt;="&amp;Fatture!$C$4))</f>
        <v/>
      </c>
      <c r="D32" s="15" t="str">
        <f aca="false">IF($A32="","",SUM(E32:I32))</f>
        <v/>
      </c>
      <c r="E32" s="14" t="str">
        <f aca="false">IF($A32="","",SUMIFS(Fatture!$H$9:$H$88,Fatture!$C$9:$C$88,$A32,Fatture!$K$9:$K$88,"Non scaduto"))</f>
        <v/>
      </c>
      <c r="F32" s="14" t="str">
        <f aca="false">IF($A32="","",SUMIFS(Fatture!$H$9:$H$88,Fatture!$C$9:$C$88,$A32,Fatture!$K$9:$K$88,"1-30 giorni"))</f>
        <v/>
      </c>
      <c r="G32" s="14" t="str">
        <f aca="false">IF($A32="","",SUMIFS(Fatture!$H$9:$H$88,Fatture!$C$9:$C$88,$A32,Fatture!$K$9:$K$88,"31-60 giorni"))</f>
        <v/>
      </c>
      <c r="H32" s="14" t="str">
        <f aca="false">IF($A32="","",SUMIFS(Fatture!$H$9:$H$88,Fatture!$C$9:$C$88,$A32,Fatture!$K$9:$K$88,"61-90 giorni"))</f>
        <v/>
      </c>
      <c r="I32" s="14" t="str">
        <f aca="false">IF($A32="","",SUMIFS(Fatture!$H$9:$H$88,Fatture!$C$9:$C$88,$A32,Fatture!$K$9:$K$88,"Oltre 90 giorni"))</f>
        <v/>
      </c>
      <c r="J32" s="14" t="str">
        <f aca="false">IF($A32="","",SUMIFS(Incassi!$C$5:$C$124,Incassi!$B$5:$B$124,$A32,Incassi!$D$5:$D$124,"",Incassi!$A$5:$A$124,"&lt;="&amp;Fatture!$C$4))</f>
        <v/>
      </c>
      <c r="K32" s="16" t="str">
        <f aca="false">IF($A32="","",IFERROR(SUMIFS(Fatture!$N$9:$N$88,Fatture!$C$9:$C$88,$A32)/SUMIFS(Fatture!$D$9:$D$88,Fatture!$C$9:$C$88,$A32,Fatture!$I$9:$I$88,"Incassata"),""))</f>
        <v/>
      </c>
    </row>
    <row r="33" customFormat="false" ht="15" hidden="false" customHeight="false" outlineLevel="0" collapsed="false">
      <c r="A33" s="13" t="str">
        <f aca="false">IFERROR(INDEX(Fatture!$C$9:$C$88,MATCH(26,Fatture!$O$9:$O$88,0)),"")</f>
        <v/>
      </c>
      <c r="B33" s="14" t="str">
        <f aca="false">IF($A33="","",SUMIFS(Fatture!$D$9:$D$88,Fatture!$C$9:$C$88,$A33,Fatture!$B$9:$B$88,"&lt;="&amp;Fatture!$C$4))</f>
        <v/>
      </c>
      <c r="C33" s="14" t="str">
        <f aca="false">IF($A33="","",SUMIFS(Fatture!$G$9:$G$88,Fatture!$C$9:$C$88,$A33,Fatture!$B$9:$B$88,"&lt;="&amp;Fatture!$C$4))</f>
        <v/>
      </c>
      <c r="D33" s="15" t="str">
        <f aca="false">IF($A33="","",SUM(E33:I33))</f>
        <v/>
      </c>
      <c r="E33" s="14" t="str">
        <f aca="false">IF($A33="","",SUMIFS(Fatture!$H$9:$H$88,Fatture!$C$9:$C$88,$A33,Fatture!$K$9:$K$88,"Non scaduto"))</f>
        <v/>
      </c>
      <c r="F33" s="14" t="str">
        <f aca="false">IF($A33="","",SUMIFS(Fatture!$H$9:$H$88,Fatture!$C$9:$C$88,$A33,Fatture!$K$9:$K$88,"1-30 giorni"))</f>
        <v/>
      </c>
      <c r="G33" s="14" t="str">
        <f aca="false">IF($A33="","",SUMIFS(Fatture!$H$9:$H$88,Fatture!$C$9:$C$88,$A33,Fatture!$K$9:$K$88,"31-60 giorni"))</f>
        <v/>
      </c>
      <c r="H33" s="14" t="str">
        <f aca="false">IF($A33="","",SUMIFS(Fatture!$H$9:$H$88,Fatture!$C$9:$C$88,$A33,Fatture!$K$9:$K$88,"61-90 giorni"))</f>
        <v/>
      </c>
      <c r="I33" s="14" t="str">
        <f aca="false">IF($A33="","",SUMIFS(Fatture!$H$9:$H$88,Fatture!$C$9:$C$88,$A33,Fatture!$K$9:$K$88,"Oltre 90 giorni"))</f>
        <v/>
      </c>
      <c r="J33" s="14" t="str">
        <f aca="false">IF($A33="","",SUMIFS(Incassi!$C$5:$C$124,Incassi!$B$5:$B$124,$A33,Incassi!$D$5:$D$124,"",Incassi!$A$5:$A$124,"&lt;="&amp;Fatture!$C$4))</f>
        <v/>
      </c>
      <c r="K33" s="16" t="str">
        <f aca="false">IF($A33="","",IFERROR(SUMIFS(Fatture!$N$9:$N$88,Fatture!$C$9:$C$88,$A33)/SUMIFS(Fatture!$D$9:$D$88,Fatture!$C$9:$C$88,$A33,Fatture!$I$9:$I$88,"Incassata"),""))</f>
        <v/>
      </c>
    </row>
    <row r="34" customFormat="false" ht="15" hidden="false" customHeight="false" outlineLevel="0" collapsed="false">
      <c r="A34" s="13" t="str">
        <f aca="false">IFERROR(INDEX(Fatture!$C$9:$C$88,MATCH(27,Fatture!$O$9:$O$88,0)),"")</f>
        <v/>
      </c>
      <c r="B34" s="14" t="str">
        <f aca="false">IF($A34="","",SUMIFS(Fatture!$D$9:$D$88,Fatture!$C$9:$C$88,$A34,Fatture!$B$9:$B$88,"&lt;="&amp;Fatture!$C$4))</f>
        <v/>
      </c>
      <c r="C34" s="14" t="str">
        <f aca="false">IF($A34="","",SUMIFS(Fatture!$G$9:$G$88,Fatture!$C$9:$C$88,$A34,Fatture!$B$9:$B$88,"&lt;="&amp;Fatture!$C$4))</f>
        <v/>
      </c>
      <c r="D34" s="15" t="str">
        <f aca="false">IF($A34="","",SUM(E34:I34))</f>
        <v/>
      </c>
      <c r="E34" s="14" t="str">
        <f aca="false">IF($A34="","",SUMIFS(Fatture!$H$9:$H$88,Fatture!$C$9:$C$88,$A34,Fatture!$K$9:$K$88,"Non scaduto"))</f>
        <v/>
      </c>
      <c r="F34" s="14" t="str">
        <f aca="false">IF($A34="","",SUMIFS(Fatture!$H$9:$H$88,Fatture!$C$9:$C$88,$A34,Fatture!$K$9:$K$88,"1-30 giorni"))</f>
        <v/>
      </c>
      <c r="G34" s="14" t="str">
        <f aca="false">IF($A34="","",SUMIFS(Fatture!$H$9:$H$88,Fatture!$C$9:$C$88,$A34,Fatture!$K$9:$K$88,"31-60 giorni"))</f>
        <v/>
      </c>
      <c r="H34" s="14" t="str">
        <f aca="false">IF($A34="","",SUMIFS(Fatture!$H$9:$H$88,Fatture!$C$9:$C$88,$A34,Fatture!$K$9:$K$88,"61-90 giorni"))</f>
        <v/>
      </c>
      <c r="I34" s="14" t="str">
        <f aca="false">IF($A34="","",SUMIFS(Fatture!$H$9:$H$88,Fatture!$C$9:$C$88,$A34,Fatture!$K$9:$K$88,"Oltre 90 giorni"))</f>
        <v/>
      </c>
      <c r="J34" s="14" t="str">
        <f aca="false">IF($A34="","",SUMIFS(Incassi!$C$5:$C$124,Incassi!$B$5:$B$124,$A34,Incassi!$D$5:$D$124,"",Incassi!$A$5:$A$124,"&lt;="&amp;Fatture!$C$4))</f>
        <v/>
      </c>
      <c r="K34" s="16" t="str">
        <f aca="false">IF($A34="","",IFERROR(SUMIFS(Fatture!$N$9:$N$88,Fatture!$C$9:$C$88,$A34)/SUMIFS(Fatture!$D$9:$D$88,Fatture!$C$9:$C$88,$A34,Fatture!$I$9:$I$88,"Incassata"),""))</f>
        <v/>
      </c>
    </row>
    <row r="35" customFormat="false" ht="15" hidden="false" customHeight="false" outlineLevel="0" collapsed="false">
      <c r="A35" s="13" t="str">
        <f aca="false">IFERROR(INDEX(Fatture!$C$9:$C$88,MATCH(28,Fatture!$O$9:$O$88,0)),"")</f>
        <v/>
      </c>
      <c r="B35" s="14" t="str">
        <f aca="false">IF($A35="","",SUMIFS(Fatture!$D$9:$D$88,Fatture!$C$9:$C$88,$A35,Fatture!$B$9:$B$88,"&lt;="&amp;Fatture!$C$4))</f>
        <v/>
      </c>
      <c r="C35" s="14" t="str">
        <f aca="false">IF($A35="","",SUMIFS(Fatture!$G$9:$G$88,Fatture!$C$9:$C$88,$A35,Fatture!$B$9:$B$88,"&lt;="&amp;Fatture!$C$4))</f>
        <v/>
      </c>
      <c r="D35" s="15" t="str">
        <f aca="false">IF($A35="","",SUM(E35:I35))</f>
        <v/>
      </c>
      <c r="E35" s="14" t="str">
        <f aca="false">IF($A35="","",SUMIFS(Fatture!$H$9:$H$88,Fatture!$C$9:$C$88,$A35,Fatture!$K$9:$K$88,"Non scaduto"))</f>
        <v/>
      </c>
      <c r="F35" s="14" t="str">
        <f aca="false">IF($A35="","",SUMIFS(Fatture!$H$9:$H$88,Fatture!$C$9:$C$88,$A35,Fatture!$K$9:$K$88,"1-30 giorni"))</f>
        <v/>
      </c>
      <c r="G35" s="14" t="str">
        <f aca="false">IF($A35="","",SUMIFS(Fatture!$H$9:$H$88,Fatture!$C$9:$C$88,$A35,Fatture!$K$9:$K$88,"31-60 giorni"))</f>
        <v/>
      </c>
      <c r="H35" s="14" t="str">
        <f aca="false">IF($A35="","",SUMIFS(Fatture!$H$9:$H$88,Fatture!$C$9:$C$88,$A35,Fatture!$K$9:$K$88,"61-90 giorni"))</f>
        <v/>
      </c>
      <c r="I35" s="14" t="str">
        <f aca="false">IF($A35="","",SUMIFS(Fatture!$H$9:$H$88,Fatture!$C$9:$C$88,$A35,Fatture!$K$9:$K$88,"Oltre 90 giorni"))</f>
        <v/>
      </c>
      <c r="J35" s="14" t="str">
        <f aca="false">IF($A35="","",SUMIFS(Incassi!$C$5:$C$124,Incassi!$B$5:$B$124,$A35,Incassi!$D$5:$D$124,"",Incassi!$A$5:$A$124,"&lt;="&amp;Fatture!$C$4))</f>
        <v/>
      </c>
      <c r="K35" s="16" t="str">
        <f aca="false">IF($A35="","",IFERROR(SUMIFS(Fatture!$N$9:$N$88,Fatture!$C$9:$C$88,$A35)/SUMIFS(Fatture!$D$9:$D$88,Fatture!$C$9:$C$88,$A35,Fatture!$I$9:$I$88,"Incassata"),""))</f>
        <v/>
      </c>
    </row>
    <row r="36" customFormat="false" ht="15" hidden="false" customHeight="false" outlineLevel="0" collapsed="false">
      <c r="A36" s="13" t="str">
        <f aca="false">IFERROR(INDEX(Fatture!$C$9:$C$88,MATCH(29,Fatture!$O$9:$O$88,0)),"")</f>
        <v/>
      </c>
      <c r="B36" s="14" t="str">
        <f aca="false">IF($A36="","",SUMIFS(Fatture!$D$9:$D$88,Fatture!$C$9:$C$88,$A36,Fatture!$B$9:$B$88,"&lt;="&amp;Fatture!$C$4))</f>
        <v/>
      </c>
      <c r="C36" s="14" t="str">
        <f aca="false">IF($A36="","",SUMIFS(Fatture!$G$9:$G$88,Fatture!$C$9:$C$88,$A36,Fatture!$B$9:$B$88,"&lt;="&amp;Fatture!$C$4))</f>
        <v/>
      </c>
      <c r="D36" s="15" t="str">
        <f aca="false">IF($A36="","",SUM(E36:I36))</f>
        <v/>
      </c>
      <c r="E36" s="14" t="str">
        <f aca="false">IF($A36="","",SUMIFS(Fatture!$H$9:$H$88,Fatture!$C$9:$C$88,$A36,Fatture!$K$9:$K$88,"Non scaduto"))</f>
        <v/>
      </c>
      <c r="F36" s="14" t="str">
        <f aca="false">IF($A36="","",SUMIFS(Fatture!$H$9:$H$88,Fatture!$C$9:$C$88,$A36,Fatture!$K$9:$K$88,"1-30 giorni"))</f>
        <v/>
      </c>
      <c r="G36" s="14" t="str">
        <f aca="false">IF($A36="","",SUMIFS(Fatture!$H$9:$H$88,Fatture!$C$9:$C$88,$A36,Fatture!$K$9:$K$88,"31-60 giorni"))</f>
        <v/>
      </c>
      <c r="H36" s="14" t="str">
        <f aca="false">IF($A36="","",SUMIFS(Fatture!$H$9:$H$88,Fatture!$C$9:$C$88,$A36,Fatture!$K$9:$K$88,"61-90 giorni"))</f>
        <v/>
      </c>
      <c r="I36" s="14" t="str">
        <f aca="false">IF($A36="","",SUMIFS(Fatture!$H$9:$H$88,Fatture!$C$9:$C$88,$A36,Fatture!$K$9:$K$88,"Oltre 90 giorni"))</f>
        <v/>
      </c>
      <c r="J36" s="14" t="str">
        <f aca="false">IF($A36="","",SUMIFS(Incassi!$C$5:$C$124,Incassi!$B$5:$B$124,$A36,Incassi!$D$5:$D$124,"",Incassi!$A$5:$A$124,"&lt;="&amp;Fatture!$C$4))</f>
        <v/>
      </c>
      <c r="K36" s="16" t="str">
        <f aca="false">IF($A36="","",IFERROR(SUMIFS(Fatture!$N$9:$N$88,Fatture!$C$9:$C$88,$A36)/SUMIFS(Fatture!$D$9:$D$88,Fatture!$C$9:$C$88,$A36,Fatture!$I$9:$I$88,"Incassata"),""))</f>
        <v/>
      </c>
    </row>
    <row r="37" customFormat="false" ht="15" hidden="false" customHeight="false" outlineLevel="0" collapsed="false">
      <c r="A37" s="13" t="str">
        <f aca="false">IFERROR(INDEX(Fatture!$C$9:$C$88,MATCH(30,Fatture!$O$9:$O$88,0)),"")</f>
        <v/>
      </c>
      <c r="B37" s="14" t="str">
        <f aca="false">IF($A37="","",SUMIFS(Fatture!$D$9:$D$88,Fatture!$C$9:$C$88,$A37,Fatture!$B$9:$B$88,"&lt;="&amp;Fatture!$C$4))</f>
        <v/>
      </c>
      <c r="C37" s="14" t="str">
        <f aca="false">IF($A37="","",SUMIFS(Fatture!$G$9:$G$88,Fatture!$C$9:$C$88,$A37,Fatture!$B$9:$B$88,"&lt;="&amp;Fatture!$C$4))</f>
        <v/>
      </c>
      <c r="D37" s="15" t="str">
        <f aca="false">IF($A37="","",SUM(E37:I37))</f>
        <v/>
      </c>
      <c r="E37" s="14" t="str">
        <f aca="false">IF($A37="","",SUMIFS(Fatture!$H$9:$H$88,Fatture!$C$9:$C$88,$A37,Fatture!$K$9:$K$88,"Non scaduto"))</f>
        <v/>
      </c>
      <c r="F37" s="14" t="str">
        <f aca="false">IF($A37="","",SUMIFS(Fatture!$H$9:$H$88,Fatture!$C$9:$C$88,$A37,Fatture!$K$9:$K$88,"1-30 giorni"))</f>
        <v/>
      </c>
      <c r="G37" s="14" t="str">
        <f aca="false">IF($A37="","",SUMIFS(Fatture!$H$9:$H$88,Fatture!$C$9:$C$88,$A37,Fatture!$K$9:$K$88,"31-60 giorni"))</f>
        <v/>
      </c>
      <c r="H37" s="14" t="str">
        <f aca="false">IF($A37="","",SUMIFS(Fatture!$H$9:$H$88,Fatture!$C$9:$C$88,$A37,Fatture!$K$9:$K$88,"61-90 giorni"))</f>
        <v/>
      </c>
      <c r="I37" s="14" t="str">
        <f aca="false">IF($A37="","",SUMIFS(Fatture!$H$9:$H$88,Fatture!$C$9:$C$88,$A37,Fatture!$K$9:$K$88,"Oltre 90 giorni"))</f>
        <v/>
      </c>
      <c r="J37" s="14" t="str">
        <f aca="false">IF($A37="","",SUMIFS(Incassi!$C$5:$C$124,Incassi!$B$5:$B$124,$A37,Incassi!$D$5:$D$124,"",Incassi!$A$5:$A$124,"&lt;="&amp;Fatture!$C$4))</f>
        <v/>
      </c>
      <c r="K37" s="16" t="str">
        <f aca="false">IF($A37="","",IFERROR(SUMIFS(Fatture!$N$9:$N$88,Fatture!$C$9:$C$88,$A37)/SUMIFS(Fatture!$D$9:$D$88,Fatture!$C$9:$C$88,$A37,Fatture!$I$9:$I$88,"Incassata"),""))</f>
        <v/>
      </c>
    </row>
    <row r="38" customFormat="false" ht="15" hidden="false" customHeight="false" outlineLevel="0" collapsed="false">
      <c r="A38" s="17" t="s">
        <v>36</v>
      </c>
      <c r="B38" s="18" t="n">
        <f aca="false">SUM(B8:B37)</f>
        <v>585600</v>
      </c>
      <c r="C38" s="18" t="n">
        <f aca="false">SUM(C8:C37)</f>
        <v>440420</v>
      </c>
      <c r="D38" s="18" t="n">
        <f aca="false">SUM(D8:D37)</f>
        <v>145180</v>
      </c>
      <c r="E38" s="18" t="n">
        <f aca="false">SUM(E8:E37)</f>
        <v>81740</v>
      </c>
      <c r="F38" s="18" t="n">
        <f aca="false">SUM(F8:F37)</f>
        <v>24400</v>
      </c>
      <c r="G38" s="18" t="n">
        <f aca="false">SUM(G8:G37)</f>
        <v>0</v>
      </c>
      <c r="H38" s="18" t="n">
        <f aca="false">SUM(H8:H37)</f>
        <v>9760</v>
      </c>
      <c r="I38" s="18" t="n">
        <f aca="false">SUM(I8:I37)</f>
        <v>29280</v>
      </c>
      <c r="J38" s="18" t="n">
        <f aca="false">SUM(J8:J37)</f>
        <v>3000</v>
      </c>
      <c r="K38" s="19" t="n">
        <f aca="false">IFERROR(SUM(Fatture!$N$9:$N$88)/SUMIFS(Fatture!$D$9:$D$88,Fatture!$I$9:$I$88,"Incassata"),"")</f>
        <v>54.8328690807799</v>
      </c>
    </row>
    <row r="40" customFormat="false" ht="15" hidden="false" customHeight="false" outlineLevel="0" collapsed="false">
      <c r="A40" s="3" t="s">
        <v>37</v>
      </c>
    </row>
    <row r="41" customFormat="false" ht="15" hidden="false" customHeight="false" outlineLevel="0" collapsed="false">
      <c r="A41" s="13" t="s">
        <v>38</v>
      </c>
      <c r="D41" s="16" t="n">
        <f aca="false">COUNTIF(Incassi!$F$5:$F$124,"Fattura non trovata")</f>
        <v>0</v>
      </c>
    </row>
    <row r="42" customFormat="false" ht="15" hidden="false" customHeight="false" outlineLevel="0" collapsed="false">
      <c r="A42" s="13" t="s">
        <v>39</v>
      </c>
      <c r="D42" s="16" t="n">
        <f aca="false">COUNTIF(Fatture!$I$9:$I$88,"Incassata più del dovuto")</f>
        <v>0</v>
      </c>
    </row>
    <row r="43" customFormat="false" ht="15" hidden="false" customHeight="false" outlineLevel="0" collapsed="false">
      <c r="A43" s="13" t="s">
        <v>40</v>
      </c>
      <c r="D43" s="16" t="n">
        <f aca="false">MAX(0,MAX(Fatture!$O$9:$O$88)-30)</f>
        <v>0</v>
      </c>
    </row>
    <row r="45" customFormat="false" ht="15" hidden="false" customHeight="false" outlineLevel="0" collapsed="false">
      <c r="A45" s="2" t="s">
        <v>41</v>
      </c>
    </row>
  </sheetData>
  <conditionalFormatting sqref="I8:I38">
    <cfRule type="cellIs" priority="2" operator="greaterThan" aboveAverage="0" equalAverage="0" bottom="0" percent="0" rank="0" text="" dxfId="0">
      <formula>0</formula>
    </cfRule>
  </conditionalFormatting>
  <conditionalFormatting sqref="F8:H38">
    <cfRule type="cellIs" priority="3" operator="greaterThan" aboveAverage="0" equalAverage="0" bottom="0" percent="0" rank="0" text="" dxfId="1">
      <formula>0</formula>
    </cfRule>
  </conditionalFormatting>
  <conditionalFormatting sqref="D41">
    <cfRule type="cellIs" priority="4" operator="greaterThan" aboveAverage="0" equalAverage="0" bottom="0" percent="0" rank="0" text="" dxfId="0">
      <formula>0</formula>
    </cfRule>
  </conditionalFormatting>
  <conditionalFormatting sqref="D42">
    <cfRule type="cellIs" priority="5" operator="greaterThan" aboveAverage="0" equalAverage="0" bottom="0" percent="0" rank="0" text="" dxfId="0">
      <formula>0</formula>
    </cfRule>
  </conditionalFormatting>
  <conditionalFormatting sqref="D43">
    <cfRule type="cellIs" priority="6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9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1"/>
    <col collapsed="false" customWidth="true" hidden="false" outlineLevel="0" max="3" min="3" style="0" width="24"/>
    <col collapsed="false" customWidth="true" hidden="false" outlineLevel="0" max="7" min="4" style="0" width="11"/>
    <col collapsed="false" customWidth="true" hidden="false" outlineLevel="0" max="8" min="8" style="0" width="12"/>
    <col collapsed="false" customWidth="true" hidden="false" outlineLevel="0" max="9" min="9" style="0" width="22"/>
    <col collapsed="false" customWidth="true" hidden="false" outlineLevel="0" max="10" min="10" style="0" width="10"/>
    <col collapsed="false" customWidth="true" hidden="false" outlineLevel="0" max="11" min="11" style="0" width="15"/>
    <col collapsed="false" customWidth="true" hidden="false" outlineLevel="0" max="13" min="12" style="0" width="12"/>
    <col collapsed="false" customWidth="true" hidden="false" outlineLevel="0" max="14" min="14" style="0" width="14"/>
    <col collapsed="false" customWidth="true" hidden="false" outlineLevel="0" max="15" min="15" style="0" width="9"/>
  </cols>
  <sheetData>
    <row r="1" customFormat="false" ht="19.7" hidden="false" customHeight="false" outlineLevel="0" collapsed="false">
      <c r="A1" s="1" t="s">
        <v>42</v>
      </c>
    </row>
    <row r="2" customFormat="false" ht="15" hidden="false" customHeight="false" outlineLevel="0" collapsed="false">
      <c r="A2" s="2" t="s">
        <v>43</v>
      </c>
    </row>
    <row r="4" customFormat="false" ht="15" hidden="false" customHeight="false" outlineLevel="0" collapsed="false">
      <c r="A4" s="20" t="s">
        <v>44</v>
      </c>
      <c r="B4" s="20"/>
      <c r="C4" s="21" t="n">
        <v>46295</v>
      </c>
      <c r="D4" s="2" t="s">
        <v>45</v>
      </c>
    </row>
    <row r="5" customFormat="false" ht="15" hidden="false" customHeight="false" outlineLevel="0" collapsed="false">
      <c r="A5" s="20" t="s">
        <v>46</v>
      </c>
      <c r="B5" s="20"/>
      <c r="C5" s="22" t="n">
        <v>30</v>
      </c>
      <c r="D5" s="2" t="s">
        <v>47</v>
      </c>
    </row>
    <row r="8" customFormat="false" ht="15" hidden="false" customHeight="false" outlineLevel="0" collapsed="false">
      <c r="A8" s="23" t="s">
        <v>48</v>
      </c>
      <c r="B8" s="24" t="s">
        <v>49</v>
      </c>
      <c r="C8" s="23" t="s">
        <v>25</v>
      </c>
      <c r="D8" s="24" t="s">
        <v>50</v>
      </c>
      <c r="E8" s="24" t="s">
        <v>51</v>
      </c>
      <c r="F8" s="24" t="s">
        <v>52</v>
      </c>
      <c r="G8" s="24" t="s">
        <v>53</v>
      </c>
      <c r="H8" s="24" t="s">
        <v>28</v>
      </c>
      <c r="I8" s="24" t="s">
        <v>54</v>
      </c>
      <c r="J8" s="24" t="s">
        <v>55</v>
      </c>
      <c r="K8" s="24" t="s">
        <v>56</v>
      </c>
      <c r="L8" s="24" t="s">
        <v>57</v>
      </c>
      <c r="M8" s="24" t="s">
        <v>58</v>
      </c>
      <c r="N8" s="24" t="s">
        <v>59</v>
      </c>
      <c r="O8" s="24" t="s">
        <v>60</v>
      </c>
    </row>
    <row r="9" customFormat="false" ht="15" hidden="false" customHeight="false" outlineLevel="0" collapsed="false">
      <c r="A9" s="25" t="s">
        <v>61</v>
      </c>
      <c r="B9" s="26" t="n">
        <v>46027</v>
      </c>
      <c r="C9" s="25" t="s">
        <v>62</v>
      </c>
      <c r="D9" s="27" t="n">
        <v>12200</v>
      </c>
      <c r="E9" s="28"/>
      <c r="F9" s="29" t="n">
        <f aca="false">IF(ISNUMBER(B9),B9+IF(ISNUMBER(E9),E9,$C$5),"")</f>
        <v>46057</v>
      </c>
      <c r="G9" s="14" t="n">
        <f aca="false">IF(AND(A9&lt;&gt;"",ISNUMBER(B9),B9&lt;=Fatture!$C$4),SUMIFS(Incassi!$C$5:$C$124,Incassi!$D$5:$D$124,A9,Incassi!$A$5:$A$124,"&lt;="&amp;Fatture!$C$4),"")</f>
        <v>12200</v>
      </c>
      <c r="H9" s="14" t="n">
        <f aca="false">IF(AND(A9&lt;&gt;"",ISNUMBER(B9),B9&lt;=Fatture!$C$4),D9-G9,"")</f>
        <v>0</v>
      </c>
      <c r="I9" s="30" t="str">
        <f aca="false">IF(A9="","",IF(NOT(AND(A9&lt;&gt;"",ISNUMBER(B9),B9&lt;=Fatture!$C$4)),"Dopo la data",IF(H9&lt;0,"Incassata più del dovuto",IF(H9=0,"Incassata",IF(F9&gt;=Fatture!$C$4,"Da incassare",IF(G9&gt;0,"Scaduta, in parte","Scaduta"))))))</f>
        <v>Incassata</v>
      </c>
      <c r="J9" s="16" t="str">
        <f aca="false">IF(AND(ISNUMBER(H9),H9&gt;0),MAX(0,Fatture!$C$4-F9),"")</f>
        <v/>
      </c>
      <c r="K9" s="30" t="str">
        <f aca="false">IF(J9="","",IF(J9=0,"Non scaduto",IF(J9&lt;=30,"1-30 giorni",IF(J9&lt;=60,"31-60 giorni",IF(J9&lt;=90,"61-90 giorni","Oltre 90 giorni")))))</f>
        <v/>
      </c>
      <c r="L9" s="29" t="n">
        <f aca="false">IF(I9="Incassata",SUMPRODUCT(MAX((Incassi!$D$5:$D$124=A9)*(Incassi!$A$5:$A$124&lt;=Fatture!$C$4)*Incassi!$A$5:$A$124)),"")</f>
        <v>46057</v>
      </c>
      <c r="M9" s="16" t="n">
        <f aca="false">IF(ISNUMBER(L9),L9-B9,"")</f>
        <v>30</v>
      </c>
      <c r="N9" s="14" t="n">
        <f aca="false">IF(ISNUMBER(M9),M9*D9,"")</f>
        <v>366000</v>
      </c>
      <c r="O9" s="16" t="n">
        <f aca="false">IF(AND(AND(A9&lt;&gt;"",ISNUMBER(B9),B9&lt;=Fatture!$C$4),C9&lt;&gt;""),IF(COUNTIF($C$9:C9,C9)=1,MAX($O$8:O8)+1,""),"")</f>
        <v>1</v>
      </c>
    </row>
    <row r="10" customFormat="false" ht="15" hidden="false" customHeight="false" outlineLevel="0" collapsed="false">
      <c r="A10" s="25" t="s">
        <v>63</v>
      </c>
      <c r="B10" s="26" t="n">
        <v>46032</v>
      </c>
      <c r="C10" s="25" t="s">
        <v>64</v>
      </c>
      <c r="D10" s="27" t="n">
        <v>8540</v>
      </c>
      <c r="E10" s="28" t="n">
        <v>60</v>
      </c>
      <c r="F10" s="29" t="n">
        <f aca="false">IF(ISNUMBER(B10),B10+IF(ISNUMBER(E10),E10,$C$5),"")</f>
        <v>46092</v>
      </c>
      <c r="G10" s="14" t="n">
        <f aca="false">IF(AND(A10&lt;&gt;"",ISNUMBER(B10),B10&lt;=Fatture!$C$4),SUMIFS(Incassi!$C$5:$C$124,Incassi!$D$5:$D$124,A10,Incassi!$A$5:$A$124,"&lt;="&amp;Fatture!$C$4),"")</f>
        <v>8540</v>
      </c>
      <c r="H10" s="14" t="n">
        <f aca="false">IF(AND(A10&lt;&gt;"",ISNUMBER(B10),B10&lt;=Fatture!$C$4),D10-G10,"")</f>
        <v>0</v>
      </c>
      <c r="I10" s="30" t="str">
        <f aca="false">IF(A10="","",IF(NOT(AND(A10&lt;&gt;"",ISNUMBER(B10),B10&lt;=Fatture!$C$4)),"Dopo la data",IF(H10&lt;0,"Incassata più del dovuto",IF(H10=0,"Incassata",IF(F10&gt;=Fatture!$C$4,"Da incassare",IF(G10&gt;0,"Scaduta, in parte","Scaduta"))))))</f>
        <v>Incassata</v>
      </c>
      <c r="J10" s="16" t="str">
        <f aca="false">IF(AND(ISNUMBER(H10),H10&gt;0),MAX(0,Fatture!$C$4-F10),"")</f>
        <v/>
      </c>
      <c r="K10" s="30" t="str">
        <f aca="false">IF(J10="","",IF(J10=0,"Non scaduto",IF(J10&lt;=30,"1-30 giorni",IF(J10&lt;=60,"31-60 giorni",IF(J10&lt;=90,"61-90 giorni","Oltre 90 giorni")))))</f>
        <v/>
      </c>
      <c r="L10" s="29" t="n">
        <f aca="false">IF(I10="Incassata",SUMPRODUCT(MAX((Incassi!$D$5:$D$124=A10)*(Incassi!$A$5:$A$124&lt;=Fatture!$C$4)*Incassi!$A$5:$A$124)),"")</f>
        <v>46092</v>
      </c>
      <c r="M10" s="16" t="n">
        <f aca="false">IF(ISNUMBER(L10),L10-B10,"")</f>
        <v>60</v>
      </c>
      <c r="N10" s="14" t="n">
        <f aca="false">IF(ISNUMBER(M10),M10*D10,"")</f>
        <v>512400</v>
      </c>
      <c r="O10" s="16" t="n">
        <f aca="false">IF(AND(AND(A10&lt;&gt;"",ISNUMBER(B10),B10&lt;=Fatture!$C$4),C10&lt;&gt;""),IF(COUNTIF($C$9:C10,C10)=1,MAX($O$8:O9)+1,""),"")</f>
        <v>2</v>
      </c>
    </row>
    <row r="11" customFormat="false" ht="15" hidden="false" customHeight="false" outlineLevel="0" collapsed="false">
      <c r="A11" s="25" t="s">
        <v>65</v>
      </c>
      <c r="B11" s="26" t="n">
        <v>46037</v>
      </c>
      <c r="C11" s="25" t="s">
        <v>66</v>
      </c>
      <c r="D11" s="27" t="n">
        <v>15860</v>
      </c>
      <c r="E11" s="28"/>
      <c r="F11" s="29" t="n">
        <f aca="false">IF(ISNUMBER(B11),B11+IF(ISNUMBER(E11),E11,$C$5),"")</f>
        <v>46067</v>
      </c>
      <c r="G11" s="14" t="n">
        <f aca="false">IF(AND(A11&lt;&gt;"",ISNUMBER(B11),B11&lt;=Fatture!$C$4),SUMIFS(Incassi!$C$5:$C$124,Incassi!$D$5:$D$124,A11,Incassi!$A$5:$A$124,"&lt;="&amp;Fatture!$C$4),"")</f>
        <v>15860</v>
      </c>
      <c r="H11" s="14" t="n">
        <f aca="false">IF(AND(A11&lt;&gt;"",ISNUMBER(B11),B11&lt;=Fatture!$C$4),D11-G11,"")</f>
        <v>0</v>
      </c>
      <c r="I11" s="30" t="str">
        <f aca="false">IF(A11="","",IF(NOT(AND(A11&lt;&gt;"",ISNUMBER(B11),B11&lt;=Fatture!$C$4)),"Dopo la data",IF(H11&lt;0,"Incassata più del dovuto",IF(H11=0,"Incassata",IF(F11&gt;=Fatture!$C$4,"Da incassare",IF(G11&gt;0,"Scaduta, in parte","Scaduta"))))))</f>
        <v>Incassata</v>
      </c>
      <c r="J11" s="16" t="str">
        <f aca="false">IF(AND(ISNUMBER(H11),H11&gt;0),MAX(0,Fatture!$C$4-F11),"")</f>
        <v/>
      </c>
      <c r="K11" s="30" t="str">
        <f aca="false">IF(J11="","",IF(J11=0,"Non scaduto",IF(J11&lt;=30,"1-30 giorni",IF(J11&lt;=60,"31-60 giorni",IF(J11&lt;=90,"61-90 giorni","Oltre 90 giorni")))))</f>
        <v/>
      </c>
      <c r="L11" s="29" t="n">
        <f aca="false">IF(I11="Incassata",SUMPRODUCT(MAX((Incassi!$D$5:$D$124=A11)*(Incassi!$A$5:$A$124&lt;=Fatture!$C$4)*Incassi!$A$5:$A$124)),"")</f>
        <v>46112</v>
      </c>
      <c r="M11" s="16" t="n">
        <f aca="false">IF(ISNUMBER(L11),L11-B11,"")</f>
        <v>75</v>
      </c>
      <c r="N11" s="14" t="n">
        <f aca="false">IF(ISNUMBER(M11),M11*D11,"")</f>
        <v>1189500</v>
      </c>
      <c r="O11" s="16" t="n">
        <f aca="false">IF(AND(AND(A11&lt;&gt;"",ISNUMBER(B11),B11&lt;=Fatture!$C$4),C11&lt;&gt;""),IF(COUNTIF($C$9:C11,C11)=1,MAX($O$8:O10)+1,""),"")</f>
        <v>3</v>
      </c>
    </row>
    <row r="12" customFormat="false" ht="15" hidden="false" customHeight="false" outlineLevel="0" collapsed="false">
      <c r="A12" s="25" t="s">
        <v>67</v>
      </c>
      <c r="B12" s="26" t="n">
        <v>46042</v>
      </c>
      <c r="C12" s="25" t="s">
        <v>68</v>
      </c>
      <c r="D12" s="27" t="n">
        <v>4880</v>
      </c>
      <c r="E12" s="28"/>
      <c r="F12" s="29" t="n">
        <f aca="false">IF(ISNUMBER(B12),B12+IF(ISNUMBER(E12),E12,$C$5),"")</f>
        <v>46072</v>
      </c>
      <c r="G12" s="14" t="n">
        <f aca="false">IF(AND(A12&lt;&gt;"",ISNUMBER(B12),B12&lt;=Fatture!$C$4),SUMIFS(Incassi!$C$5:$C$124,Incassi!$D$5:$D$124,A12,Incassi!$A$5:$A$124,"&lt;="&amp;Fatture!$C$4),"")</f>
        <v>4880</v>
      </c>
      <c r="H12" s="14" t="n">
        <f aca="false">IF(AND(A12&lt;&gt;"",ISNUMBER(B12),B12&lt;=Fatture!$C$4),D12-G12,"")</f>
        <v>0</v>
      </c>
      <c r="I12" s="30" t="str">
        <f aca="false">IF(A12="","",IF(NOT(AND(A12&lt;&gt;"",ISNUMBER(B12),B12&lt;=Fatture!$C$4)),"Dopo la data",IF(H12&lt;0,"Incassata più del dovuto",IF(H12=0,"Incassata",IF(F12&gt;=Fatture!$C$4,"Da incassare",IF(G12&gt;0,"Scaduta, in parte","Scaduta"))))))</f>
        <v>Incassata</v>
      </c>
      <c r="J12" s="16" t="str">
        <f aca="false">IF(AND(ISNUMBER(H12),H12&gt;0),MAX(0,Fatture!$C$4-F12),"")</f>
        <v/>
      </c>
      <c r="K12" s="30" t="str">
        <f aca="false">IF(J12="","",IF(J12=0,"Non scaduto",IF(J12&lt;=30,"1-30 giorni",IF(J12&lt;=60,"31-60 giorni",IF(J12&lt;=90,"61-90 giorni","Oltre 90 giorni")))))</f>
        <v/>
      </c>
      <c r="L12" s="29" t="n">
        <f aca="false">IF(I12="Incassata",SUMPRODUCT(MAX((Incassi!$D$5:$D$124=A12)*(Incassi!$A$5:$A$124&lt;=Fatture!$C$4)*Incassi!$A$5:$A$124)),"")</f>
        <v>46102</v>
      </c>
      <c r="M12" s="16" t="n">
        <f aca="false">IF(ISNUMBER(L12),L12-B12,"")</f>
        <v>60</v>
      </c>
      <c r="N12" s="14" t="n">
        <f aca="false">IF(ISNUMBER(M12),M12*D12,"")</f>
        <v>292800</v>
      </c>
      <c r="O12" s="16" t="n">
        <f aca="false">IF(AND(AND(A12&lt;&gt;"",ISNUMBER(B12),B12&lt;=Fatture!$C$4),C12&lt;&gt;""),IF(COUNTIF($C$9:C12,C12)=1,MAX($O$8:O11)+1,""),"")</f>
        <v>4</v>
      </c>
    </row>
    <row r="13" customFormat="false" ht="15" hidden="false" customHeight="false" outlineLevel="0" collapsed="false">
      <c r="A13" s="25" t="s">
        <v>69</v>
      </c>
      <c r="B13" s="26" t="n">
        <v>46030</v>
      </c>
      <c r="C13" s="25" t="s">
        <v>70</v>
      </c>
      <c r="D13" s="27" t="n">
        <v>9760</v>
      </c>
      <c r="E13" s="28"/>
      <c r="F13" s="29" t="n">
        <f aca="false">IF(ISNUMBER(B13),B13+IF(ISNUMBER(E13),E13,$C$5),"")</f>
        <v>46060</v>
      </c>
      <c r="G13" s="14" t="n">
        <f aca="false">IF(AND(A13&lt;&gt;"",ISNUMBER(B13),B13&lt;=Fatture!$C$4),SUMIFS(Incassi!$C$5:$C$124,Incassi!$D$5:$D$124,A13,Incassi!$A$5:$A$124,"&lt;="&amp;Fatture!$C$4),"")</f>
        <v>9760</v>
      </c>
      <c r="H13" s="14" t="n">
        <f aca="false">IF(AND(A13&lt;&gt;"",ISNUMBER(B13),B13&lt;=Fatture!$C$4),D13-G13,"")</f>
        <v>0</v>
      </c>
      <c r="I13" s="30" t="str">
        <f aca="false">IF(A13="","",IF(NOT(AND(A13&lt;&gt;"",ISNUMBER(B13),B13&lt;=Fatture!$C$4)),"Dopo la data",IF(H13&lt;0,"Incassata più del dovuto",IF(H13=0,"Incassata",IF(F13&gt;=Fatture!$C$4,"Da incassare",IF(G13&gt;0,"Scaduta, in parte","Scaduta"))))))</f>
        <v>Incassata</v>
      </c>
      <c r="J13" s="16" t="str">
        <f aca="false">IF(AND(ISNUMBER(H13),H13&gt;0),MAX(0,Fatture!$C$4-F13),"")</f>
        <v/>
      </c>
      <c r="K13" s="30" t="str">
        <f aca="false">IF(J13="","",IF(J13=0,"Non scaduto",IF(J13&lt;=30,"1-30 giorni",IF(J13&lt;=60,"31-60 giorni",IF(J13&lt;=90,"61-90 giorni","Oltre 90 giorni")))))</f>
        <v/>
      </c>
      <c r="L13" s="29" t="n">
        <f aca="false">IF(I13="Incassata",SUMPRODUCT(MAX((Incassi!$D$5:$D$124=A13)*(Incassi!$A$5:$A$124&lt;=Fatture!$C$4)*Incassi!$A$5:$A$124)),"")</f>
        <v>46060</v>
      </c>
      <c r="M13" s="16" t="n">
        <f aca="false">IF(ISNUMBER(L13),L13-B13,"")</f>
        <v>30</v>
      </c>
      <c r="N13" s="14" t="n">
        <f aca="false">IF(ISNUMBER(M13),M13*D13,"")</f>
        <v>292800</v>
      </c>
      <c r="O13" s="16" t="n">
        <f aca="false">IF(AND(AND(A13&lt;&gt;"",ISNUMBER(B13),B13&lt;=Fatture!$C$4),C13&lt;&gt;""),IF(COUNTIF($C$9:C13,C13)=1,MAX($O$8:O12)+1,""),"")</f>
        <v>5</v>
      </c>
    </row>
    <row r="14" customFormat="false" ht="15" hidden="false" customHeight="false" outlineLevel="0" collapsed="false">
      <c r="A14" s="25" t="s">
        <v>71</v>
      </c>
      <c r="B14" s="26" t="n">
        <v>46047</v>
      </c>
      <c r="C14" s="25" t="s">
        <v>72</v>
      </c>
      <c r="D14" s="27" t="n">
        <v>6100</v>
      </c>
      <c r="E14" s="28"/>
      <c r="F14" s="29" t="n">
        <f aca="false">IF(ISNUMBER(B14),B14+IF(ISNUMBER(E14),E14,$C$5),"")</f>
        <v>46077</v>
      </c>
      <c r="G14" s="14" t="n">
        <f aca="false">IF(AND(A14&lt;&gt;"",ISNUMBER(B14),B14&lt;=Fatture!$C$4),SUMIFS(Incassi!$C$5:$C$124,Incassi!$D$5:$D$124,A14,Incassi!$A$5:$A$124,"&lt;="&amp;Fatture!$C$4),"")</f>
        <v>6100</v>
      </c>
      <c r="H14" s="14" t="n">
        <f aca="false">IF(AND(A14&lt;&gt;"",ISNUMBER(B14),B14&lt;=Fatture!$C$4),D14-G14,"")</f>
        <v>0</v>
      </c>
      <c r="I14" s="30" t="str">
        <f aca="false">IF(A14="","",IF(NOT(AND(A14&lt;&gt;"",ISNUMBER(B14),B14&lt;=Fatture!$C$4)),"Dopo la data",IF(H14&lt;0,"Incassata più del dovuto",IF(H14=0,"Incassata",IF(F14&gt;=Fatture!$C$4,"Da incassare",IF(G14&gt;0,"Scaduta, in parte","Scaduta"))))))</f>
        <v>Incassata</v>
      </c>
      <c r="J14" s="16" t="str">
        <f aca="false">IF(AND(ISNUMBER(H14),H14&gt;0),MAX(0,Fatture!$C$4-F14),"")</f>
        <v/>
      </c>
      <c r="K14" s="30" t="str">
        <f aca="false">IF(J14="","",IF(J14=0,"Non scaduto",IF(J14&lt;=30,"1-30 giorni",IF(J14&lt;=60,"31-60 giorni",IF(J14&lt;=90,"61-90 giorni","Oltre 90 giorni")))))</f>
        <v/>
      </c>
      <c r="L14" s="29" t="n">
        <f aca="false">IF(I14="Incassata",SUMPRODUCT(MAX((Incassi!$D$5:$D$124=A14)*(Incassi!$A$5:$A$124&lt;=Fatture!$C$4)*Incassi!$A$5:$A$124)),"")</f>
        <v>46087</v>
      </c>
      <c r="M14" s="16" t="n">
        <f aca="false">IF(ISNUMBER(L14),L14-B14,"")</f>
        <v>40</v>
      </c>
      <c r="N14" s="14" t="n">
        <f aca="false">IF(ISNUMBER(M14),M14*D14,"")</f>
        <v>244000</v>
      </c>
      <c r="O14" s="16" t="n">
        <f aca="false">IF(AND(AND(A14&lt;&gt;"",ISNUMBER(B14),B14&lt;=Fatture!$C$4),C14&lt;&gt;""),IF(COUNTIF($C$9:C14,C14)=1,MAX($O$8:O13)+1,""),"")</f>
        <v>6</v>
      </c>
    </row>
    <row r="15" customFormat="false" ht="15" hidden="false" customHeight="false" outlineLevel="0" collapsed="false">
      <c r="A15" s="25" t="s">
        <v>73</v>
      </c>
      <c r="B15" s="26" t="n">
        <v>46034</v>
      </c>
      <c r="C15" s="25" t="s">
        <v>74</v>
      </c>
      <c r="D15" s="27" t="n">
        <v>3660</v>
      </c>
      <c r="E15" s="28"/>
      <c r="F15" s="29" t="n">
        <f aca="false">IF(ISNUMBER(B15),B15+IF(ISNUMBER(E15),E15,$C$5),"")</f>
        <v>46064</v>
      </c>
      <c r="G15" s="14" t="n">
        <f aca="false">IF(AND(A15&lt;&gt;"",ISNUMBER(B15),B15&lt;=Fatture!$C$4),SUMIFS(Incassi!$C$5:$C$124,Incassi!$D$5:$D$124,A15,Incassi!$A$5:$A$124,"&lt;="&amp;Fatture!$C$4),"")</f>
        <v>3660</v>
      </c>
      <c r="H15" s="14" t="n">
        <f aca="false">IF(AND(A15&lt;&gt;"",ISNUMBER(B15),B15&lt;=Fatture!$C$4),D15-G15,"")</f>
        <v>0</v>
      </c>
      <c r="I15" s="30" t="str">
        <f aca="false">IF(A15="","",IF(NOT(AND(A15&lt;&gt;"",ISNUMBER(B15),B15&lt;=Fatture!$C$4)),"Dopo la data",IF(H15&lt;0,"Incassata più del dovuto",IF(H15=0,"Incassata",IF(F15&gt;=Fatture!$C$4,"Da incassare",IF(G15&gt;0,"Scaduta, in parte","Scaduta"))))))</f>
        <v>Incassata</v>
      </c>
      <c r="J15" s="16" t="str">
        <f aca="false">IF(AND(ISNUMBER(H15),H15&gt;0),MAX(0,Fatture!$C$4-F15),"")</f>
        <v/>
      </c>
      <c r="K15" s="30" t="str">
        <f aca="false">IF(J15="","",IF(J15=0,"Non scaduto",IF(J15&lt;=30,"1-30 giorni",IF(J15&lt;=60,"31-60 giorni",IF(J15&lt;=90,"61-90 giorni","Oltre 90 giorni")))))</f>
        <v/>
      </c>
      <c r="L15" s="29" t="n">
        <f aca="false">IF(I15="Incassata",SUMPRODUCT(MAX((Incassi!$D$5:$D$124=A15)*(Incassi!$A$5:$A$124&lt;=Fatture!$C$4)*Incassi!$A$5:$A$124)),"")</f>
        <v>46064</v>
      </c>
      <c r="M15" s="16" t="n">
        <f aca="false">IF(ISNUMBER(L15),L15-B15,"")</f>
        <v>30</v>
      </c>
      <c r="N15" s="14" t="n">
        <f aca="false">IF(ISNUMBER(M15),M15*D15,"")</f>
        <v>109800</v>
      </c>
      <c r="O15" s="16" t="n">
        <f aca="false">IF(AND(AND(A15&lt;&gt;"",ISNUMBER(B15),B15&lt;=Fatture!$C$4),C15&lt;&gt;""),IF(COUNTIF($C$9:C15,C15)=1,MAX($O$8:O14)+1,""),"")</f>
        <v>7</v>
      </c>
    </row>
    <row r="16" customFormat="false" ht="15" hidden="false" customHeight="false" outlineLevel="0" collapsed="false">
      <c r="A16" s="25" t="s">
        <v>75</v>
      </c>
      <c r="B16" s="26" t="n">
        <v>46050</v>
      </c>
      <c r="C16" s="25" t="s">
        <v>76</v>
      </c>
      <c r="D16" s="27" t="n">
        <v>7320</v>
      </c>
      <c r="E16" s="28" t="n">
        <v>90</v>
      </c>
      <c r="F16" s="29" t="n">
        <f aca="false">IF(ISNUMBER(B16),B16+IF(ISNUMBER(E16),E16,$C$5),"")</f>
        <v>46140</v>
      </c>
      <c r="G16" s="14" t="n">
        <f aca="false">IF(AND(A16&lt;&gt;"",ISNUMBER(B16),B16&lt;=Fatture!$C$4),SUMIFS(Incassi!$C$5:$C$124,Incassi!$D$5:$D$124,A16,Incassi!$A$5:$A$124,"&lt;="&amp;Fatture!$C$4),"")</f>
        <v>7320</v>
      </c>
      <c r="H16" s="14" t="n">
        <f aca="false">IF(AND(A16&lt;&gt;"",ISNUMBER(B16),B16&lt;=Fatture!$C$4),D16-G16,"")</f>
        <v>0</v>
      </c>
      <c r="I16" s="30" t="str">
        <f aca="false">IF(A16="","",IF(NOT(AND(A16&lt;&gt;"",ISNUMBER(B16),B16&lt;=Fatture!$C$4)),"Dopo la data",IF(H16&lt;0,"Incassata più del dovuto",IF(H16=0,"Incassata",IF(F16&gt;=Fatture!$C$4,"Da incassare",IF(G16&gt;0,"Scaduta, in parte","Scaduta"))))))</f>
        <v>Incassata</v>
      </c>
      <c r="J16" s="16" t="str">
        <f aca="false">IF(AND(ISNUMBER(H16),H16&gt;0),MAX(0,Fatture!$C$4-F16),"")</f>
        <v/>
      </c>
      <c r="K16" s="30" t="str">
        <f aca="false">IF(J16="","",IF(J16=0,"Non scaduto",IF(J16&lt;=30,"1-30 giorni",IF(J16&lt;=60,"31-60 giorni",IF(J16&lt;=90,"61-90 giorni","Oltre 90 giorni")))))</f>
        <v/>
      </c>
      <c r="L16" s="29" t="n">
        <f aca="false">IF(I16="Incassata",SUMPRODUCT(MAX((Incassi!$D$5:$D$124=A16)*(Incassi!$A$5:$A$124&lt;=Fatture!$C$4)*Incassi!$A$5:$A$124)),"")</f>
        <v>46140</v>
      </c>
      <c r="M16" s="16" t="n">
        <f aca="false">IF(ISNUMBER(L16),L16-B16,"")</f>
        <v>90</v>
      </c>
      <c r="N16" s="14" t="n">
        <f aca="false">IF(ISNUMBER(M16),M16*D16,"")</f>
        <v>658800</v>
      </c>
      <c r="O16" s="16" t="n">
        <f aca="false">IF(AND(AND(A16&lt;&gt;"",ISNUMBER(B16),B16&lt;=Fatture!$C$4),C16&lt;&gt;""),IF(COUNTIF($C$9:C16,C16)=1,MAX($O$8:O15)+1,""),"")</f>
        <v>8</v>
      </c>
    </row>
    <row r="17" customFormat="false" ht="15" hidden="false" customHeight="false" outlineLevel="0" collapsed="false">
      <c r="A17" s="25" t="s">
        <v>77</v>
      </c>
      <c r="B17" s="26" t="n">
        <v>46058</v>
      </c>
      <c r="C17" s="25" t="s">
        <v>62</v>
      </c>
      <c r="D17" s="27" t="n">
        <v>12200</v>
      </c>
      <c r="E17" s="28"/>
      <c r="F17" s="29" t="n">
        <f aca="false">IF(ISNUMBER(B17),B17+IF(ISNUMBER(E17),E17,$C$5),"")</f>
        <v>46088</v>
      </c>
      <c r="G17" s="14" t="n">
        <f aca="false">IF(AND(A17&lt;&gt;"",ISNUMBER(B17),B17&lt;=Fatture!$C$4),SUMIFS(Incassi!$C$5:$C$124,Incassi!$D$5:$D$124,A17,Incassi!$A$5:$A$124,"&lt;="&amp;Fatture!$C$4),"")</f>
        <v>12200</v>
      </c>
      <c r="H17" s="14" t="n">
        <f aca="false">IF(AND(A17&lt;&gt;"",ISNUMBER(B17),B17&lt;=Fatture!$C$4),D17-G17,"")</f>
        <v>0</v>
      </c>
      <c r="I17" s="30" t="str">
        <f aca="false">IF(A17="","",IF(NOT(AND(A17&lt;&gt;"",ISNUMBER(B17),B17&lt;=Fatture!$C$4)),"Dopo la data",IF(H17&lt;0,"Incassata più del dovuto",IF(H17=0,"Incassata",IF(F17&gt;=Fatture!$C$4,"Da incassare",IF(G17&gt;0,"Scaduta, in parte","Scaduta"))))))</f>
        <v>Incassata</v>
      </c>
      <c r="J17" s="16" t="str">
        <f aca="false">IF(AND(ISNUMBER(H17),H17&gt;0),MAX(0,Fatture!$C$4-F17),"")</f>
        <v/>
      </c>
      <c r="K17" s="30" t="str">
        <f aca="false">IF(J17="","",IF(J17=0,"Non scaduto",IF(J17&lt;=30,"1-30 giorni",IF(J17&lt;=60,"31-60 giorni",IF(J17&lt;=90,"61-90 giorni","Oltre 90 giorni")))))</f>
        <v/>
      </c>
      <c r="L17" s="29" t="n">
        <f aca="false">IF(I17="Incassata",SUMPRODUCT(MAX((Incassi!$D$5:$D$124=A17)*(Incassi!$A$5:$A$124&lt;=Fatture!$C$4)*Incassi!$A$5:$A$124)),"")</f>
        <v>46088</v>
      </c>
      <c r="M17" s="16" t="n">
        <f aca="false">IF(ISNUMBER(L17),L17-B17,"")</f>
        <v>30</v>
      </c>
      <c r="N17" s="14" t="n">
        <f aca="false">IF(ISNUMBER(M17),M17*D17,"")</f>
        <v>366000</v>
      </c>
      <c r="O17" s="16" t="str">
        <f aca="false">IF(AND(AND(A17&lt;&gt;"",ISNUMBER(B17),B17&lt;=Fatture!$C$4),C17&lt;&gt;""),IF(COUNTIF($C$9:C17,C17)=1,MAX($O$8:O16)+1,""),"")</f>
        <v/>
      </c>
    </row>
    <row r="18" customFormat="false" ht="15" hidden="false" customHeight="false" outlineLevel="0" collapsed="false">
      <c r="A18" s="25" t="s">
        <v>78</v>
      </c>
      <c r="B18" s="26" t="n">
        <v>46063</v>
      </c>
      <c r="C18" s="25" t="s">
        <v>64</v>
      </c>
      <c r="D18" s="27" t="n">
        <v>8540</v>
      </c>
      <c r="E18" s="28" t="n">
        <v>60</v>
      </c>
      <c r="F18" s="29" t="n">
        <f aca="false">IF(ISNUMBER(B18),B18+IF(ISNUMBER(E18),E18,$C$5),"")</f>
        <v>46123</v>
      </c>
      <c r="G18" s="14" t="n">
        <f aca="false">IF(AND(A18&lt;&gt;"",ISNUMBER(B18),B18&lt;=Fatture!$C$4),SUMIFS(Incassi!$C$5:$C$124,Incassi!$D$5:$D$124,A18,Incassi!$A$5:$A$124,"&lt;="&amp;Fatture!$C$4),"")</f>
        <v>8540</v>
      </c>
      <c r="H18" s="14" t="n">
        <f aca="false">IF(AND(A18&lt;&gt;"",ISNUMBER(B18),B18&lt;=Fatture!$C$4),D18-G18,"")</f>
        <v>0</v>
      </c>
      <c r="I18" s="30" t="str">
        <f aca="false">IF(A18="","",IF(NOT(AND(A18&lt;&gt;"",ISNUMBER(B18),B18&lt;=Fatture!$C$4)),"Dopo la data",IF(H18&lt;0,"Incassata più del dovuto",IF(H18=0,"Incassata",IF(F18&gt;=Fatture!$C$4,"Da incassare",IF(G18&gt;0,"Scaduta, in parte","Scaduta"))))))</f>
        <v>Incassata</v>
      </c>
      <c r="J18" s="16" t="str">
        <f aca="false">IF(AND(ISNUMBER(H18),H18&gt;0),MAX(0,Fatture!$C$4-F18),"")</f>
        <v/>
      </c>
      <c r="K18" s="30" t="str">
        <f aca="false">IF(J18="","",IF(J18=0,"Non scaduto",IF(J18&lt;=30,"1-30 giorni",IF(J18&lt;=60,"31-60 giorni",IF(J18&lt;=90,"61-90 giorni","Oltre 90 giorni")))))</f>
        <v/>
      </c>
      <c r="L18" s="29" t="n">
        <f aca="false">IF(I18="Incassata",SUMPRODUCT(MAX((Incassi!$D$5:$D$124=A18)*(Incassi!$A$5:$A$124&lt;=Fatture!$C$4)*Incassi!$A$5:$A$124)),"")</f>
        <v>46123</v>
      </c>
      <c r="M18" s="16" t="n">
        <f aca="false">IF(ISNUMBER(L18),L18-B18,"")</f>
        <v>60</v>
      </c>
      <c r="N18" s="14" t="n">
        <f aca="false">IF(ISNUMBER(M18),M18*D18,"")</f>
        <v>512400</v>
      </c>
      <c r="O18" s="16" t="str">
        <f aca="false">IF(AND(AND(A18&lt;&gt;"",ISNUMBER(B18),B18&lt;=Fatture!$C$4),C18&lt;&gt;""),IF(COUNTIF($C$9:C18,C18)=1,MAX($O$8:O17)+1,""),"")</f>
        <v/>
      </c>
    </row>
    <row r="19" customFormat="false" ht="15" hidden="false" customHeight="false" outlineLevel="0" collapsed="false">
      <c r="A19" s="25" t="s">
        <v>79</v>
      </c>
      <c r="B19" s="26" t="n">
        <v>46068</v>
      </c>
      <c r="C19" s="25" t="s">
        <v>66</v>
      </c>
      <c r="D19" s="27" t="n">
        <v>15860</v>
      </c>
      <c r="E19" s="28"/>
      <c r="F19" s="29" t="n">
        <f aca="false">IF(ISNUMBER(B19),B19+IF(ISNUMBER(E19),E19,$C$5),"")</f>
        <v>46098</v>
      </c>
      <c r="G19" s="14" t="n">
        <f aca="false">IF(AND(A19&lt;&gt;"",ISNUMBER(B19),B19&lt;=Fatture!$C$4),SUMIFS(Incassi!$C$5:$C$124,Incassi!$D$5:$D$124,A19,Incassi!$A$5:$A$124,"&lt;="&amp;Fatture!$C$4),"")</f>
        <v>15860</v>
      </c>
      <c r="H19" s="14" t="n">
        <f aca="false">IF(AND(A19&lt;&gt;"",ISNUMBER(B19),B19&lt;=Fatture!$C$4),D19-G19,"")</f>
        <v>0</v>
      </c>
      <c r="I19" s="30" t="str">
        <f aca="false">IF(A19="","",IF(NOT(AND(A19&lt;&gt;"",ISNUMBER(B19),B19&lt;=Fatture!$C$4)),"Dopo la data",IF(H19&lt;0,"Incassata più del dovuto",IF(H19=0,"Incassata",IF(F19&gt;=Fatture!$C$4,"Da incassare",IF(G19&gt;0,"Scaduta, in parte","Scaduta"))))))</f>
        <v>Incassata</v>
      </c>
      <c r="J19" s="16" t="str">
        <f aca="false">IF(AND(ISNUMBER(H19),H19&gt;0),MAX(0,Fatture!$C$4-F19),"")</f>
        <v/>
      </c>
      <c r="K19" s="30" t="str">
        <f aca="false">IF(J19="","",IF(J19=0,"Non scaduto",IF(J19&lt;=30,"1-30 giorni",IF(J19&lt;=60,"31-60 giorni",IF(J19&lt;=90,"61-90 giorni","Oltre 90 giorni")))))</f>
        <v/>
      </c>
      <c r="L19" s="29" t="n">
        <f aca="false">IF(I19="Incassata",SUMPRODUCT(MAX((Incassi!$D$5:$D$124=A19)*(Incassi!$A$5:$A$124&lt;=Fatture!$C$4)*Incassi!$A$5:$A$124)),"")</f>
        <v>46143</v>
      </c>
      <c r="M19" s="16" t="n">
        <f aca="false">IF(ISNUMBER(L19),L19-B19,"")</f>
        <v>75</v>
      </c>
      <c r="N19" s="14" t="n">
        <f aca="false">IF(ISNUMBER(M19),M19*D19,"")</f>
        <v>1189500</v>
      </c>
      <c r="O19" s="16" t="str">
        <f aca="false">IF(AND(AND(A19&lt;&gt;"",ISNUMBER(B19),B19&lt;=Fatture!$C$4),C19&lt;&gt;""),IF(COUNTIF($C$9:C19,C19)=1,MAX($O$8:O18)+1,""),"")</f>
        <v/>
      </c>
    </row>
    <row r="20" customFormat="false" ht="15" hidden="false" customHeight="false" outlineLevel="0" collapsed="false">
      <c r="A20" s="25" t="s">
        <v>80</v>
      </c>
      <c r="B20" s="26" t="n">
        <v>46073</v>
      </c>
      <c r="C20" s="25" t="s">
        <v>68</v>
      </c>
      <c r="D20" s="27" t="n">
        <v>4880</v>
      </c>
      <c r="E20" s="28"/>
      <c r="F20" s="29" t="n">
        <f aca="false">IF(ISNUMBER(B20),B20+IF(ISNUMBER(E20),E20,$C$5),"")</f>
        <v>46103</v>
      </c>
      <c r="G20" s="14" t="n">
        <f aca="false">IF(AND(A20&lt;&gt;"",ISNUMBER(B20),B20&lt;=Fatture!$C$4),SUMIFS(Incassi!$C$5:$C$124,Incassi!$D$5:$D$124,A20,Incassi!$A$5:$A$124,"&lt;="&amp;Fatture!$C$4),"")</f>
        <v>4880</v>
      </c>
      <c r="H20" s="14" t="n">
        <f aca="false">IF(AND(A20&lt;&gt;"",ISNUMBER(B20),B20&lt;=Fatture!$C$4),D20-G20,"")</f>
        <v>0</v>
      </c>
      <c r="I20" s="30" t="str">
        <f aca="false">IF(A20="","",IF(NOT(AND(A20&lt;&gt;"",ISNUMBER(B20),B20&lt;=Fatture!$C$4)),"Dopo la data",IF(H20&lt;0,"Incassata più del dovuto",IF(H20=0,"Incassata",IF(F20&gt;=Fatture!$C$4,"Da incassare",IF(G20&gt;0,"Scaduta, in parte","Scaduta"))))))</f>
        <v>Incassata</v>
      </c>
      <c r="J20" s="16" t="str">
        <f aca="false">IF(AND(ISNUMBER(H20),H20&gt;0),MAX(0,Fatture!$C$4-F20),"")</f>
        <v/>
      </c>
      <c r="K20" s="30" t="str">
        <f aca="false">IF(J20="","",IF(J20=0,"Non scaduto",IF(J20&lt;=30,"1-30 giorni",IF(J20&lt;=60,"31-60 giorni",IF(J20&lt;=90,"61-90 giorni","Oltre 90 giorni")))))</f>
        <v/>
      </c>
      <c r="L20" s="29" t="n">
        <f aca="false">IF(I20="Incassata",SUMPRODUCT(MAX((Incassi!$D$5:$D$124=A20)*(Incassi!$A$5:$A$124&lt;=Fatture!$C$4)*Incassi!$A$5:$A$124)),"")</f>
        <v>46133</v>
      </c>
      <c r="M20" s="16" t="n">
        <f aca="false">IF(ISNUMBER(L20),L20-B20,"")</f>
        <v>60</v>
      </c>
      <c r="N20" s="14" t="n">
        <f aca="false">IF(ISNUMBER(M20),M20*D20,"")</f>
        <v>292800</v>
      </c>
      <c r="O20" s="16" t="str">
        <f aca="false">IF(AND(AND(A20&lt;&gt;"",ISNUMBER(B20),B20&lt;=Fatture!$C$4),C20&lt;&gt;""),IF(COUNTIF($C$9:C20,C20)=1,MAX($O$8:O19)+1,""),"")</f>
        <v/>
      </c>
    </row>
    <row r="21" customFormat="false" ht="15" hidden="false" customHeight="false" outlineLevel="0" collapsed="false">
      <c r="A21" s="25" t="s">
        <v>81</v>
      </c>
      <c r="B21" s="26" t="n">
        <v>46061</v>
      </c>
      <c r="C21" s="25" t="s">
        <v>70</v>
      </c>
      <c r="D21" s="27" t="n">
        <v>9760</v>
      </c>
      <c r="E21" s="28"/>
      <c r="F21" s="29" t="n">
        <f aca="false">IF(ISNUMBER(B21),B21+IF(ISNUMBER(E21),E21,$C$5),"")</f>
        <v>46091</v>
      </c>
      <c r="G21" s="14" t="n">
        <f aca="false">IF(AND(A21&lt;&gt;"",ISNUMBER(B21),B21&lt;=Fatture!$C$4),SUMIFS(Incassi!$C$5:$C$124,Incassi!$D$5:$D$124,A21,Incassi!$A$5:$A$124,"&lt;="&amp;Fatture!$C$4),"")</f>
        <v>9760</v>
      </c>
      <c r="H21" s="14" t="n">
        <f aca="false">IF(AND(A21&lt;&gt;"",ISNUMBER(B21),B21&lt;=Fatture!$C$4),D21-G21,"")</f>
        <v>0</v>
      </c>
      <c r="I21" s="30" t="str">
        <f aca="false">IF(A21="","",IF(NOT(AND(A21&lt;&gt;"",ISNUMBER(B21),B21&lt;=Fatture!$C$4)),"Dopo la data",IF(H21&lt;0,"Incassata più del dovuto",IF(H21=0,"Incassata",IF(F21&gt;=Fatture!$C$4,"Da incassare",IF(G21&gt;0,"Scaduta, in parte","Scaduta"))))))</f>
        <v>Incassata</v>
      </c>
      <c r="J21" s="16" t="str">
        <f aca="false">IF(AND(ISNUMBER(H21),H21&gt;0),MAX(0,Fatture!$C$4-F21),"")</f>
        <v/>
      </c>
      <c r="K21" s="30" t="str">
        <f aca="false">IF(J21="","",IF(J21=0,"Non scaduto",IF(J21&lt;=30,"1-30 giorni",IF(J21&lt;=60,"31-60 giorni",IF(J21&lt;=90,"61-90 giorni","Oltre 90 giorni")))))</f>
        <v/>
      </c>
      <c r="L21" s="29" t="n">
        <f aca="false">IF(I21="Incassata",SUMPRODUCT(MAX((Incassi!$D$5:$D$124=A21)*(Incassi!$A$5:$A$124&lt;=Fatture!$C$4)*Incassi!$A$5:$A$124)),"")</f>
        <v>46091</v>
      </c>
      <c r="M21" s="16" t="n">
        <f aca="false">IF(ISNUMBER(L21),L21-B21,"")</f>
        <v>30</v>
      </c>
      <c r="N21" s="14" t="n">
        <f aca="false">IF(ISNUMBER(M21),M21*D21,"")</f>
        <v>292800</v>
      </c>
      <c r="O21" s="16" t="str">
        <f aca="false">IF(AND(AND(A21&lt;&gt;"",ISNUMBER(B21),B21&lt;=Fatture!$C$4),C21&lt;&gt;""),IF(COUNTIF($C$9:C21,C21)=1,MAX($O$8:O20)+1,""),"")</f>
        <v/>
      </c>
    </row>
    <row r="22" customFormat="false" ht="15" hidden="false" customHeight="false" outlineLevel="0" collapsed="false">
      <c r="A22" s="25" t="s">
        <v>82</v>
      </c>
      <c r="B22" s="26" t="n">
        <v>46078</v>
      </c>
      <c r="C22" s="25" t="s">
        <v>72</v>
      </c>
      <c r="D22" s="27" t="n">
        <v>6100</v>
      </c>
      <c r="E22" s="28"/>
      <c r="F22" s="29" t="n">
        <f aca="false">IF(ISNUMBER(B22),B22+IF(ISNUMBER(E22),E22,$C$5),"")</f>
        <v>46108</v>
      </c>
      <c r="G22" s="14" t="n">
        <f aca="false">IF(AND(A22&lt;&gt;"",ISNUMBER(B22),B22&lt;=Fatture!$C$4),SUMIFS(Incassi!$C$5:$C$124,Incassi!$D$5:$D$124,A22,Incassi!$A$5:$A$124,"&lt;="&amp;Fatture!$C$4),"")</f>
        <v>6100</v>
      </c>
      <c r="H22" s="14" t="n">
        <f aca="false">IF(AND(A22&lt;&gt;"",ISNUMBER(B22),B22&lt;=Fatture!$C$4),D22-G22,"")</f>
        <v>0</v>
      </c>
      <c r="I22" s="30" t="str">
        <f aca="false">IF(A22="","",IF(NOT(AND(A22&lt;&gt;"",ISNUMBER(B22),B22&lt;=Fatture!$C$4)),"Dopo la data",IF(H22&lt;0,"Incassata più del dovuto",IF(H22=0,"Incassata",IF(F22&gt;=Fatture!$C$4,"Da incassare",IF(G22&gt;0,"Scaduta, in parte","Scaduta"))))))</f>
        <v>Incassata</v>
      </c>
      <c r="J22" s="16" t="str">
        <f aca="false">IF(AND(ISNUMBER(H22),H22&gt;0),MAX(0,Fatture!$C$4-F22),"")</f>
        <v/>
      </c>
      <c r="K22" s="30" t="str">
        <f aca="false">IF(J22="","",IF(J22=0,"Non scaduto",IF(J22&lt;=30,"1-30 giorni",IF(J22&lt;=60,"31-60 giorni",IF(J22&lt;=90,"61-90 giorni","Oltre 90 giorni")))))</f>
        <v/>
      </c>
      <c r="L22" s="29" t="n">
        <f aca="false">IF(I22="Incassata",SUMPRODUCT(MAX((Incassi!$D$5:$D$124=A22)*(Incassi!$A$5:$A$124&lt;=Fatture!$C$4)*Incassi!$A$5:$A$124)),"")</f>
        <v>46118</v>
      </c>
      <c r="M22" s="16" t="n">
        <f aca="false">IF(ISNUMBER(L22),L22-B22,"")</f>
        <v>40</v>
      </c>
      <c r="N22" s="14" t="n">
        <f aca="false">IF(ISNUMBER(M22),M22*D22,"")</f>
        <v>244000</v>
      </c>
      <c r="O22" s="16" t="str">
        <f aca="false">IF(AND(AND(A22&lt;&gt;"",ISNUMBER(B22),B22&lt;=Fatture!$C$4),C22&lt;&gt;""),IF(COUNTIF($C$9:C22,C22)=1,MAX($O$8:O21)+1,""),"")</f>
        <v/>
      </c>
    </row>
    <row r="23" customFormat="false" ht="15" hidden="false" customHeight="false" outlineLevel="0" collapsed="false">
      <c r="A23" s="25" t="s">
        <v>83</v>
      </c>
      <c r="B23" s="26" t="n">
        <v>46065</v>
      </c>
      <c r="C23" s="25" t="s">
        <v>74</v>
      </c>
      <c r="D23" s="27" t="n">
        <v>3660</v>
      </c>
      <c r="E23" s="28"/>
      <c r="F23" s="29" t="n">
        <f aca="false">IF(ISNUMBER(B23),B23+IF(ISNUMBER(E23),E23,$C$5),"")</f>
        <v>46095</v>
      </c>
      <c r="G23" s="14" t="n">
        <f aca="false">IF(AND(A23&lt;&gt;"",ISNUMBER(B23),B23&lt;=Fatture!$C$4),SUMIFS(Incassi!$C$5:$C$124,Incassi!$D$5:$D$124,A23,Incassi!$A$5:$A$124,"&lt;="&amp;Fatture!$C$4),"")</f>
        <v>3660</v>
      </c>
      <c r="H23" s="14" t="n">
        <f aca="false">IF(AND(A23&lt;&gt;"",ISNUMBER(B23),B23&lt;=Fatture!$C$4),D23-G23,"")</f>
        <v>0</v>
      </c>
      <c r="I23" s="30" t="str">
        <f aca="false">IF(A23="","",IF(NOT(AND(A23&lt;&gt;"",ISNUMBER(B23),B23&lt;=Fatture!$C$4)),"Dopo la data",IF(H23&lt;0,"Incassata più del dovuto",IF(H23=0,"Incassata",IF(F23&gt;=Fatture!$C$4,"Da incassare",IF(G23&gt;0,"Scaduta, in parte","Scaduta"))))))</f>
        <v>Incassata</v>
      </c>
      <c r="J23" s="16" t="str">
        <f aca="false">IF(AND(ISNUMBER(H23),H23&gt;0),MAX(0,Fatture!$C$4-F23),"")</f>
        <v/>
      </c>
      <c r="K23" s="30" t="str">
        <f aca="false">IF(J23="","",IF(J23=0,"Non scaduto",IF(J23&lt;=30,"1-30 giorni",IF(J23&lt;=60,"31-60 giorni",IF(J23&lt;=90,"61-90 giorni","Oltre 90 giorni")))))</f>
        <v/>
      </c>
      <c r="L23" s="29" t="n">
        <f aca="false">IF(I23="Incassata",SUMPRODUCT(MAX((Incassi!$D$5:$D$124=A23)*(Incassi!$A$5:$A$124&lt;=Fatture!$C$4)*Incassi!$A$5:$A$124)),"")</f>
        <v>46095</v>
      </c>
      <c r="M23" s="16" t="n">
        <f aca="false">IF(ISNUMBER(L23),L23-B23,"")</f>
        <v>30</v>
      </c>
      <c r="N23" s="14" t="n">
        <f aca="false">IF(ISNUMBER(M23),M23*D23,"")</f>
        <v>109800</v>
      </c>
      <c r="O23" s="16" t="str">
        <f aca="false">IF(AND(AND(A23&lt;&gt;"",ISNUMBER(B23),B23&lt;=Fatture!$C$4),C23&lt;&gt;""),IF(COUNTIF($C$9:C23,C23)=1,MAX($O$8:O22)+1,""),"")</f>
        <v/>
      </c>
    </row>
    <row r="24" customFormat="false" ht="15" hidden="false" customHeight="false" outlineLevel="0" collapsed="false">
      <c r="A24" s="25" t="s">
        <v>84</v>
      </c>
      <c r="B24" s="26" t="n">
        <v>46081</v>
      </c>
      <c r="C24" s="25" t="s">
        <v>76</v>
      </c>
      <c r="D24" s="27" t="n">
        <v>7320</v>
      </c>
      <c r="E24" s="28" t="n">
        <v>90</v>
      </c>
      <c r="F24" s="29" t="n">
        <f aca="false">IF(ISNUMBER(B24),B24+IF(ISNUMBER(E24),E24,$C$5),"")</f>
        <v>46171</v>
      </c>
      <c r="G24" s="14" t="n">
        <f aca="false">IF(AND(A24&lt;&gt;"",ISNUMBER(B24),B24&lt;=Fatture!$C$4),SUMIFS(Incassi!$C$5:$C$124,Incassi!$D$5:$D$124,A24,Incassi!$A$5:$A$124,"&lt;="&amp;Fatture!$C$4),"")</f>
        <v>7320</v>
      </c>
      <c r="H24" s="14" t="n">
        <f aca="false">IF(AND(A24&lt;&gt;"",ISNUMBER(B24),B24&lt;=Fatture!$C$4),D24-G24,"")</f>
        <v>0</v>
      </c>
      <c r="I24" s="30" t="str">
        <f aca="false">IF(A24="","",IF(NOT(AND(A24&lt;&gt;"",ISNUMBER(B24),B24&lt;=Fatture!$C$4)),"Dopo la data",IF(H24&lt;0,"Incassata più del dovuto",IF(H24=0,"Incassata",IF(F24&gt;=Fatture!$C$4,"Da incassare",IF(G24&gt;0,"Scaduta, in parte","Scaduta"))))))</f>
        <v>Incassata</v>
      </c>
      <c r="J24" s="16" t="str">
        <f aca="false">IF(AND(ISNUMBER(H24),H24&gt;0),MAX(0,Fatture!$C$4-F24),"")</f>
        <v/>
      </c>
      <c r="K24" s="30" t="str">
        <f aca="false">IF(J24="","",IF(J24=0,"Non scaduto",IF(J24&lt;=30,"1-30 giorni",IF(J24&lt;=60,"31-60 giorni",IF(J24&lt;=90,"61-90 giorni","Oltre 90 giorni")))))</f>
        <v/>
      </c>
      <c r="L24" s="29" t="n">
        <f aca="false">IF(I24="Incassata",SUMPRODUCT(MAX((Incassi!$D$5:$D$124=A24)*(Incassi!$A$5:$A$124&lt;=Fatture!$C$4)*Incassi!$A$5:$A$124)),"")</f>
        <v>46171</v>
      </c>
      <c r="M24" s="16" t="n">
        <f aca="false">IF(ISNUMBER(L24),L24-B24,"")</f>
        <v>90</v>
      </c>
      <c r="N24" s="14" t="n">
        <f aca="false">IF(ISNUMBER(M24),M24*D24,"")</f>
        <v>658800</v>
      </c>
      <c r="O24" s="16" t="str">
        <f aca="false">IF(AND(AND(A24&lt;&gt;"",ISNUMBER(B24),B24&lt;=Fatture!$C$4),C24&lt;&gt;""),IF(COUNTIF($C$9:C24,C24)=1,MAX($O$8:O23)+1,""),"")</f>
        <v/>
      </c>
    </row>
    <row r="25" customFormat="false" ht="15" hidden="false" customHeight="false" outlineLevel="0" collapsed="false">
      <c r="A25" s="25" t="s">
        <v>85</v>
      </c>
      <c r="B25" s="26" t="n">
        <v>46086</v>
      </c>
      <c r="C25" s="25" t="s">
        <v>62</v>
      </c>
      <c r="D25" s="27" t="n">
        <v>12200</v>
      </c>
      <c r="E25" s="28"/>
      <c r="F25" s="29" t="n">
        <f aca="false">IF(ISNUMBER(B25),B25+IF(ISNUMBER(E25),E25,$C$5),"")</f>
        <v>46116</v>
      </c>
      <c r="G25" s="14" t="n">
        <f aca="false">IF(AND(A25&lt;&gt;"",ISNUMBER(B25),B25&lt;=Fatture!$C$4),SUMIFS(Incassi!$C$5:$C$124,Incassi!$D$5:$D$124,A25,Incassi!$A$5:$A$124,"&lt;="&amp;Fatture!$C$4),"")</f>
        <v>12200</v>
      </c>
      <c r="H25" s="14" t="n">
        <f aca="false">IF(AND(A25&lt;&gt;"",ISNUMBER(B25),B25&lt;=Fatture!$C$4),D25-G25,"")</f>
        <v>0</v>
      </c>
      <c r="I25" s="30" t="str">
        <f aca="false">IF(A25="","",IF(NOT(AND(A25&lt;&gt;"",ISNUMBER(B25),B25&lt;=Fatture!$C$4)),"Dopo la data",IF(H25&lt;0,"Incassata più del dovuto",IF(H25=0,"Incassata",IF(F25&gt;=Fatture!$C$4,"Da incassare",IF(G25&gt;0,"Scaduta, in parte","Scaduta"))))))</f>
        <v>Incassata</v>
      </c>
      <c r="J25" s="16" t="str">
        <f aca="false">IF(AND(ISNUMBER(H25),H25&gt;0),MAX(0,Fatture!$C$4-F25),"")</f>
        <v/>
      </c>
      <c r="K25" s="30" t="str">
        <f aca="false">IF(J25="","",IF(J25=0,"Non scaduto",IF(J25&lt;=30,"1-30 giorni",IF(J25&lt;=60,"31-60 giorni",IF(J25&lt;=90,"61-90 giorni","Oltre 90 giorni")))))</f>
        <v/>
      </c>
      <c r="L25" s="29" t="n">
        <f aca="false">IF(I25="Incassata",SUMPRODUCT(MAX((Incassi!$D$5:$D$124=A25)*(Incassi!$A$5:$A$124&lt;=Fatture!$C$4)*Incassi!$A$5:$A$124)),"")</f>
        <v>46116</v>
      </c>
      <c r="M25" s="16" t="n">
        <f aca="false">IF(ISNUMBER(L25),L25-B25,"")</f>
        <v>30</v>
      </c>
      <c r="N25" s="14" t="n">
        <f aca="false">IF(ISNUMBER(M25),M25*D25,"")</f>
        <v>366000</v>
      </c>
      <c r="O25" s="16" t="str">
        <f aca="false">IF(AND(AND(A25&lt;&gt;"",ISNUMBER(B25),B25&lt;=Fatture!$C$4),C25&lt;&gt;""),IF(COUNTIF($C$9:C25,C25)=1,MAX($O$8:O24)+1,""),"")</f>
        <v/>
      </c>
    </row>
    <row r="26" customFormat="false" ht="15" hidden="false" customHeight="false" outlineLevel="0" collapsed="false">
      <c r="A26" s="25" t="s">
        <v>86</v>
      </c>
      <c r="B26" s="26" t="n">
        <v>46091</v>
      </c>
      <c r="C26" s="25" t="s">
        <v>64</v>
      </c>
      <c r="D26" s="27" t="n">
        <v>8540</v>
      </c>
      <c r="E26" s="28" t="n">
        <v>60</v>
      </c>
      <c r="F26" s="29" t="n">
        <f aca="false">IF(ISNUMBER(B26),B26+IF(ISNUMBER(E26),E26,$C$5),"")</f>
        <v>46151</v>
      </c>
      <c r="G26" s="14" t="n">
        <f aca="false">IF(AND(A26&lt;&gt;"",ISNUMBER(B26),B26&lt;=Fatture!$C$4),SUMIFS(Incassi!$C$5:$C$124,Incassi!$D$5:$D$124,A26,Incassi!$A$5:$A$124,"&lt;="&amp;Fatture!$C$4),"")</f>
        <v>8540</v>
      </c>
      <c r="H26" s="14" t="n">
        <f aca="false">IF(AND(A26&lt;&gt;"",ISNUMBER(B26),B26&lt;=Fatture!$C$4),D26-G26,"")</f>
        <v>0</v>
      </c>
      <c r="I26" s="30" t="str">
        <f aca="false">IF(A26="","",IF(NOT(AND(A26&lt;&gt;"",ISNUMBER(B26),B26&lt;=Fatture!$C$4)),"Dopo la data",IF(H26&lt;0,"Incassata più del dovuto",IF(H26=0,"Incassata",IF(F26&gt;=Fatture!$C$4,"Da incassare",IF(G26&gt;0,"Scaduta, in parte","Scaduta"))))))</f>
        <v>Incassata</v>
      </c>
      <c r="J26" s="16" t="str">
        <f aca="false">IF(AND(ISNUMBER(H26),H26&gt;0),MAX(0,Fatture!$C$4-F26),"")</f>
        <v/>
      </c>
      <c r="K26" s="30" t="str">
        <f aca="false">IF(J26="","",IF(J26=0,"Non scaduto",IF(J26&lt;=30,"1-30 giorni",IF(J26&lt;=60,"31-60 giorni",IF(J26&lt;=90,"61-90 giorni","Oltre 90 giorni")))))</f>
        <v/>
      </c>
      <c r="L26" s="29" t="n">
        <f aca="false">IF(I26="Incassata",SUMPRODUCT(MAX((Incassi!$D$5:$D$124=A26)*(Incassi!$A$5:$A$124&lt;=Fatture!$C$4)*Incassi!$A$5:$A$124)),"")</f>
        <v>46151</v>
      </c>
      <c r="M26" s="16" t="n">
        <f aca="false">IF(ISNUMBER(L26),L26-B26,"")</f>
        <v>60</v>
      </c>
      <c r="N26" s="14" t="n">
        <f aca="false">IF(ISNUMBER(M26),M26*D26,"")</f>
        <v>512400</v>
      </c>
      <c r="O26" s="16" t="str">
        <f aca="false">IF(AND(AND(A26&lt;&gt;"",ISNUMBER(B26),B26&lt;=Fatture!$C$4),C26&lt;&gt;""),IF(COUNTIF($C$9:C26,C26)=1,MAX($O$8:O25)+1,""),"")</f>
        <v/>
      </c>
    </row>
    <row r="27" customFormat="false" ht="15" hidden="false" customHeight="false" outlineLevel="0" collapsed="false">
      <c r="A27" s="25" t="s">
        <v>87</v>
      </c>
      <c r="B27" s="26" t="n">
        <v>46096</v>
      </c>
      <c r="C27" s="25" t="s">
        <v>66</v>
      </c>
      <c r="D27" s="27" t="n">
        <v>15860</v>
      </c>
      <c r="E27" s="28"/>
      <c r="F27" s="29" t="n">
        <f aca="false">IF(ISNUMBER(B27),B27+IF(ISNUMBER(E27),E27,$C$5),"")</f>
        <v>46126</v>
      </c>
      <c r="G27" s="14" t="n">
        <f aca="false">IF(AND(A27&lt;&gt;"",ISNUMBER(B27),B27&lt;=Fatture!$C$4),SUMIFS(Incassi!$C$5:$C$124,Incassi!$D$5:$D$124,A27,Incassi!$A$5:$A$124,"&lt;="&amp;Fatture!$C$4),"")</f>
        <v>15860</v>
      </c>
      <c r="H27" s="14" t="n">
        <f aca="false">IF(AND(A27&lt;&gt;"",ISNUMBER(B27),B27&lt;=Fatture!$C$4),D27-G27,"")</f>
        <v>0</v>
      </c>
      <c r="I27" s="30" t="str">
        <f aca="false">IF(A27="","",IF(NOT(AND(A27&lt;&gt;"",ISNUMBER(B27),B27&lt;=Fatture!$C$4)),"Dopo la data",IF(H27&lt;0,"Incassata più del dovuto",IF(H27=0,"Incassata",IF(F27&gt;=Fatture!$C$4,"Da incassare",IF(G27&gt;0,"Scaduta, in parte","Scaduta"))))))</f>
        <v>Incassata</v>
      </c>
      <c r="J27" s="16" t="str">
        <f aca="false">IF(AND(ISNUMBER(H27),H27&gt;0),MAX(0,Fatture!$C$4-F27),"")</f>
        <v/>
      </c>
      <c r="K27" s="30" t="str">
        <f aca="false">IF(J27="","",IF(J27=0,"Non scaduto",IF(J27&lt;=30,"1-30 giorni",IF(J27&lt;=60,"31-60 giorni",IF(J27&lt;=90,"61-90 giorni","Oltre 90 giorni")))))</f>
        <v/>
      </c>
      <c r="L27" s="29" t="n">
        <f aca="false">IF(I27="Incassata",SUMPRODUCT(MAX((Incassi!$D$5:$D$124=A27)*(Incassi!$A$5:$A$124&lt;=Fatture!$C$4)*Incassi!$A$5:$A$124)),"")</f>
        <v>46171</v>
      </c>
      <c r="M27" s="16" t="n">
        <f aca="false">IF(ISNUMBER(L27),L27-B27,"")</f>
        <v>75</v>
      </c>
      <c r="N27" s="14" t="n">
        <f aca="false">IF(ISNUMBER(M27),M27*D27,"")</f>
        <v>1189500</v>
      </c>
      <c r="O27" s="16" t="str">
        <f aca="false">IF(AND(AND(A27&lt;&gt;"",ISNUMBER(B27),B27&lt;=Fatture!$C$4),C27&lt;&gt;""),IF(COUNTIF($C$9:C27,C27)=1,MAX($O$8:O26)+1,""),"")</f>
        <v/>
      </c>
    </row>
    <row r="28" customFormat="false" ht="15" hidden="false" customHeight="false" outlineLevel="0" collapsed="false">
      <c r="A28" s="25" t="s">
        <v>88</v>
      </c>
      <c r="B28" s="26" t="n">
        <v>46101</v>
      </c>
      <c r="C28" s="25" t="s">
        <v>68</v>
      </c>
      <c r="D28" s="27" t="n">
        <v>4880</v>
      </c>
      <c r="E28" s="28"/>
      <c r="F28" s="29" t="n">
        <f aca="false">IF(ISNUMBER(B28),B28+IF(ISNUMBER(E28),E28,$C$5),"")</f>
        <v>46131</v>
      </c>
      <c r="G28" s="14" t="n">
        <f aca="false">IF(AND(A28&lt;&gt;"",ISNUMBER(B28),B28&lt;=Fatture!$C$4),SUMIFS(Incassi!$C$5:$C$124,Incassi!$D$5:$D$124,A28,Incassi!$A$5:$A$124,"&lt;="&amp;Fatture!$C$4),"")</f>
        <v>4880</v>
      </c>
      <c r="H28" s="14" t="n">
        <f aca="false">IF(AND(A28&lt;&gt;"",ISNUMBER(B28),B28&lt;=Fatture!$C$4),D28-G28,"")</f>
        <v>0</v>
      </c>
      <c r="I28" s="30" t="str">
        <f aca="false">IF(A28="","",IF(NOT(AND(A28&lt;&gt;"",ISNUMBER(B28),B28&lt;=Fatture!$C$4)),"Dopo la data",IF(H28&lt;0,"Incassata più del dovuto",IF(H28=0,"Incassata",IF(F28&gt;=Fatture!$C$4,"Da incassare",IF(G28&gt;0,"Scaduta, in parte","Scaduta"))))))</f>
        <v>Incassata</v>
      </c>
      <c r="J28" s="16" t="str">
        <f aca="false">IF(AND(ISNUMBER(H28),H28&gt;0),MAX(0,Fatture!$C$4-F28),"")</f>
        <v/>
      </c>
      <c r="K28" s="30" t="str">
        <f aca="false">IF(J28="","",IF(J28=0,"Non scaduto",IF(J28&lt;=30,"1-30 giorni",IF(J28&lt;=60,"31-60 giorni",IF(J28&lt;=90,"61-90 giorni","Oltre 90 giorni")))))</f>
        <v/>
      </c>
      <c r="L28" s="29" t="n">
        <f aca="false">IF(I28="Incassata",SUMPRODUCT(MAX((Incassi!$D$5:$D$124=A28)*(Incassi!$A$5:$A$124&lt;=Fatture!$C$4)*Incassi!$A$5:$A$124)),"")</f>
        <v>46161</v>
      </c>
      <c r="M28" s="16" t="n">
        <f aca="false">IF(ISNUMBER(L28),L28-B28,"")</f>
        <v>60</v>
      </c>
      <c r="N28" s="14" t="n">
        <f aca="false">IF(ISNUMBER(M28),M28*D28,"")</f>
        <v>292800</v>
      </c>
      <c r="O28" s="16" t="str">
        <f aca="false">IF(AND(AND(A28&lt;&gt;"",ISNUMBER(B28),B28&lt;=Fatture!$C$4),C28&lt;&gt;""),IF(COUNTIF($C$9:C28,C28)=1,MAX($O$8:O27)+1,""),"")</f>
        <v/>
      </c>
    </row>
    <row r="29" customFormat="false" ht="15" hidden="false" customHeight="false" outlineLevel="0" collapsed="false">
      <c r="A29" s="25" t="s">
        <v>89</v>
      </c>
      <c r="B29" s="26" t="n">
        <v>46089</v>
      </c>
      <c r="C29" s="25" t="s">
        <v>70</v>
      </c>
      <c r="D29" s="27" t="n">
        <v>9760</v>
      </c>
      <c r="E29" s="28"/>
      <c r="F29" s="29" t="n">
        <f aca="false">IF(ISNUMBER(B29),B29+IF(ISNUMBER(E29),E29,$C$5),"")</f>
        <v>46119</v>
      </c>
      <c r="G29" s="14" t="n">
        <f aca="false">IF(AND(A29&lt;&gt;"",ISNUMBER(B29),B29&lt;=Fatture!$C$4),SUMIFS(Incassi!$C$5:$C$124,Incassi!$D$5:$D$124,A29,Incassi!$A$5:$A$124,"&lt;="&amp;Fatture!$C$4),"")</f>
        <v>0</v>
      </c>
      <c r="H29" s="14" t="n">
        <f aca="false">IF(AND(A29&lt;&gt;"",ISNUMBER(B29),B29&lt;=Fatture!$C$4),D29-G29,"")</f>
        <v>9760</v>
      </c>
      <c r="I29" s="30" t="str">
        <f aca="false">IF(A29="","",IF(NOT(AND(A29&lt;&gt;"",ISNUMBER(B29),B29&lt;=Fatture!$C$4)),"Dopo la data",IF(H29&lt;0,"Incassata più del dovuto",IF(H29=0,"Incassata",IF(F29&gt;=Fatture!$C$4,"Da incassare",IF(G29&gt;0,"Scaduta, in parte","Scaduta"))))))</f>
        <v>Scaduta</v>
      </c>
      <c r="J29" s="16" t="n">
        <f aca="false">IF(AND(ISNUMBER(H29),H29&gt;0),MAX(0,Fatture!$C$4-F29),"")</f>
        <v>176</v>
      </c>
      <c r="K29" s="30" t="str">
        <f aca="false">IF(J29="","",IF(J29=0,"Non scaduto",IF(J29&lt;=30,"1-30 giorni",IF(J29&lt;=60,"31-60 giorni",IF(J29&lt;=90,"61-90 giorni","Oltre 90 giorni")))))</f>
        <v>Oltre 90 giorni</v>
      </c>
      <c r="L29" s="29" t="str">
        <f aca="false">IF(I29="Incassata",SUMPRODUCT(MAX((Incassi!$D$5:$D$124=A29)*(Incassi!$A$5:$A$124&lt;=Fatture!$C$4)*Incassi!$A$5:$A$124)),"")</f>
        <v/>
      </c>
      <c r="M29" s="16" t="str">
        <f aca="false">IF(ISNUMBER(L29),L29-B29,"")</f>
        <v/>
      </c>
      <c r="N29" s="14" t="str">
        <f aca="false">IF(ISNUMBER(M29),M29*D29,"")</f>
        <v/>
      </c>
      <c r="O29" s="16" t="str">
        <f aca="false">IF(AND(AND(A29&lt;&gt;"",ISNUMBER(B29),B29&lt;=Fatture!$C$4),C29&lt;&gt;""),IF(COUNTIF($C$9:C29,C29)=1,MAX($O$8:O28)+1,""),"")</f>
        <v/>
      </c>
    </row>
    <row r="30" customFormat="false" ht="15" hidden="false" customHeight="false" outlineLevel="0" collapsed="false">
      <c r="A30" s="25" t="s">
        <v>90</v>
      </c>
      <c r="B30" s="26" t="n">
        <v>46106</v>
      </c>
      <c r="C30" s="25" t="s">
        <v>72</v>
      </c>
      <c r="D30" s="27" t="n">
        <v>6100</v>
      </c>
      <c r="E30" s="28"/>
      <c r="F30" s="29" t="n">
        <f aca="false">IF(ISNUMBER(B30),B30+IF(ISNUMBER(E30),E30,$C$5),"")</f>
        <v>46136</v>
      </c>
      <c r="G30" s="14" t="n">
        <f aca="false">IF(AND(A30&lt;&gt;"",ISNUMBER(B30),B30&lt;=Fatture!$C$4),SUMIFS(Incassi!$C$5:$C$124,Incassi!$D$5:$D$124,A30,Incassi!$A$5:$A$124,"&lt;="&amp;Fatture!$C$4),"")</f>
        <v>6100</v>
      </c>
      <c r="H30" s="14" t="n">
        <f aca="false">IF(AND(A30&lt;&gt;"",ISNUMBER(B30),B30&lt;=Fatture!$C$4),D30-G30,"")</f>
        <v>0</v>
      </c>
      <c r="I30" s="30" t="str">
        <f aca="false">IF(A30="","",IF(NOT(AND(A30&lt;&gt;"",ISNUMBER(B30),B30&lt;=Fatture!$C$4)),"Dopo la data",IF(H30&lt;0,"Incassata più del dovuto",IF(H30=0,"Incassata",IF(F30&gt;=Fatture!$C$4,"Da incassare",IF(G30&gt;0,"Scaduta, in parte","Scaduta"))))))</f>
        <v>Incassata</v>
      </c>
      <c r="J30" s="16" t="str">
        <f aca="false">IF(AND(ISNUMBER(H30),H30&gt;0),MAX(0,Fatture!$C$4-F30),"")</f>
        <v/>
      </c>
      <c r="K30" s="30" t="str">
        <f aca="false">IF(J30="","",IF(J30=0,"Non scaduto",IF(J30&lt;=30,"1-30 giorni",IF(J30&lt;=60,"31-60 giorni",IF(J30&lt;=90,"61-90 giorni","Oltre 90 giorni")))))</f>
        <v/>
      </c>
      <c r="L30" s="29" t="n">
        <f aca="false">IF(I30="Incassata",SUMPRODUCT(MAX((Incassi!$D$5:$D$124=A30)*(Incassi!$A$5:$A$124&lt;=Fatture!$C$4)*Incassi!$A$5:$A$124)),"")</f>
        <v>46146</v>
      </c>
      <c r="M30" s="16" t="n">
        <f aca="false">IF(ISNUMBER(L30),L30-B30,"")</f>
        <v>40</v>
      </c>
      <c r="N30" s="14" t="n">
        <f aca="false">IF(ISNUMBER(M30),M30*D30,"")</f>
        <v>244000</v>
      </c>
      <c r="O30" s="16" t="str">
        <f aca="false">IF(AND(AND(A30&lt;&gt;"",ISNUMBER(B30),B30&lt;=Fatture!$C$4),C30&lt;&gt;""),IF(COUNTIF($C$9:C30,C30)=1,MAX($O$8:O29)+1,""),"")</f>
        <v/>
      </c>
    </row>
    <row r="31" customFormat="false" ht="15" hidden="false" customHeight="false" outlineLevel="0" collapsed="false">
      <c r="A31" s="25" t="s">
        <v>91</v>
      </c>
      <c r="B31" s="26" t="n">
        <v>46093</v>
      </c>
      <c r="C31" s="25" t="s">
        <v>74</v>
      </c>
      <c r="D31" s="27" t="n">
        <v>3660</v>
      </c>
      <c r="E31" s="28"/>
      <c r="F31" s="29" t="n">
        <f aca="false">IF(ISNUMBER(B31),B31+IF(ISNUMBER(E31),E31,$C$5),"")</f>
        <v>46123</v>
      </c>
      <c r="G31" s="14" t="n">
        <f aca="false">IF(AND(A31&lt;&gt;"",ISNUMBER(B31),B31&lt;=Fatture!$C$4),SUMIFS(Incassi!$C$5:$C$124,Incassi!$D$5:$D$124,A31,Incassi!$A$5:$A$124,"&lt;="&amp;Fatture!$C$4),"")</f>
        <v>3660</v>
      </c>
      <c r="H31" s="14" t="n">
        <f aca="false">IF(AND(A31&lt;&gt;"",ISNUMBER(B31),B31&lt;=Fatture!$C$4),D31-G31,"")</f>
        <v>0</v>
      </c>
      <c r="I31" s="30" t="str">
        <f aca="false">IF(A31="","",IF(NOT(AND(A31&lt;&gt;"",ISNUMBER(B31),B31&lt;=Fatture!$C$4)),"Dopo la data",IF(H31&lt;0,"Incassata più del dovuto",IF(H31=0,"Incassata",IF(F31&gt;=Fatture!$C$4,"Da incassare",IF(G31&gt;0,"Scaduta, in parte","Scaduta"))))))</f>
        <v>Incassata</v>
      </c>
      <c r="J31" s="16" t="str">
        <f aca="false">IF(AND(ISNUMBER(H31),H31&gt;0),MAX(0,Fatture!$C$4-F31),"")</f>
        <v/>
      </c>
      <c r="K31" s="30" t="str">
        <f aca="false">IF(J31="","",IF(J31=0,"Non scaduto",IF(J31&lt;=30,"1-30 giorni",IF(J31&lt;=60,"31-60 giorni",IF(J31&lt;=90,"61-90 giorni","Oltre 90 giorni")))))</f>
        <v/>
      </c>
      <c r="L31" s="29" t="n">
        <f aca="false">IF(I31="Incassata",SUMPRODUCT(MAX((Incassi!$D$5:$D$124=A31)*(Incassi!$A$5:$A$124&lt;=Fatture!$C$4)*Incassi!$A$5:$A$124)),"")</f>
        <v>46123</v>
      </c>
      <c r="M31" s="16" t="n">
        <f aca="false">IF(ISNUMBER(L31),L31-B31,"")</f>
        <v>30</v>
      </c>
      <c r="N31" s="14" t="n">
        <f aca="false">IF(ISNUMBER(M31),M31*D31,"")</f>
        <v>109800</v>
      </c>
      <c r="O31" s="16" t="str">
        <f aca="false">IF(AND(AND(A31&lt;&gt;"",ISNUMBER(B31),B31&lt;=Fatture!$C$4),C31&lt;&gt;""),IF(COUNTIF($C$9:C31,C31)=1,MAX($O$8:O30)+1,""),"")</f>
        <v/>
      </c>
    </row>
    <row r="32" customFormat="false" ht="15" hidden="false" customHeight="false" outlineLevel="0" collapsed="false">
      <c r="A32" s="25" t="s">
        <v>92</v>
      </c>
      <c r="B32" s="26" t="n">
        <v>46109</v>
      </c>
      <c r="C32" s="25" t="s">
        <v>76</v>
      </c>
      <c r="D32" s="27" t="n">
        <v>7320</v>
      </c>
      <c r="E32" s="28" t="n">
        <v>90</v>
      </c>
      <c r="F32" s="29" t="n">
        <f aca="false">IF(ISNUMBER(B32),B32+IF(ISNUMBER(E32),E32,$C$5),"")</f>
        <v>46199</v>
      </c>
      <c r="G32" s="14" t="n">
        <f aca="false">IF(AND(A32&lt;&gt;"",ISNUMBER(B32),B32&lt;=Fatture!$C$4),SUMIFS(Incassi!$C$5:$C$124,Incassi!$D$5:$D$124,A32,Incassi!$A$5:$A$124,"&lt;="&amp;Fatture!$C$4),"")</f>
        <v>7320</v>
      </c>
      <c r="H32" s="14" t="n">
        <f aca="false">IF(AND(A32&lt;&gt;"",ISNUMBER(B32),B32&lt;=Fatture!$C$4),D32-G32,"")</f>
        <v>0</v>
      </c>
      <c r="I32" s="30" t="str">
        <f aca="false">IF(A32="","",IF(NOT(AND(A32&lt;&gt;"",ISNUMBER(B32),B32&lt;=Fatture!$C$4)),"Dopo la data",IF(H32&lt;0,"Incassata più del dovuto",IF(H32=0,"Incassata",IF(F32&gt;=Fatture!$C$4,"Da incassare",IF(G32&gt;0,"Scaduta, in parte","Scaduta"))))))</f>
        <v>Incassata</v>
      </c>
      <c r="J32" s="16" t="str">
        <f aca="false">IF(AND(ISNUMBER(H32),H32&gt;0),MAX(0,Fatture!$C$4-F32),"")</f>
        <v/>
      </c>
      <c r="K32" s="30" t="str">
        <f aca="false">IF(J32="","",IF(J32=0,"Non scaduto",IF(J32&lt;=30,"1-30 giorni",IF(J32&lt;=60,"31-60 giorni",IF(J32&lt;=90,"61-90 giorni","Oltre 90 giorni")))))</f>
        <v/>
      </c>
      <c r="L32" s="29" t="n">
        <f aca="false">IF(I32="Incassata",SUMPRODUCT(MAX((Incassi!$D$5:$D$124=A32)*(Incassi!$A$5:$A$124&lt;=Fatture!$C$4)*Incassi!$A$5:$A$124)),"")</f>
        <v>46199</v>
      </c>
      <c r="M32" s="16" t="n">
        <f aca="false">IF(ISNUMBER(L32),L32-B32,"")</f>
        <v>90</v>
      </c>
      <c r="N32" s="14" t="n">
        <f aca="false">IF(ISNUMBER(M32),M32*D32,"")</f>
        <v>658800</v>
      </c>
      <c r="O32" s="16" t="str">
        <f aca="false">IF(AND(AND(A32&lt;&gt;"",ISNUMBER(B32),B32&lt;=Fatture!$C$4),C32&lt;&gt;""),IF(COUNTIF($C$9:C32,C32)=1,MAX($O$8:O31)+1,""),"")</f>
        <v/>
      </c>
    </row>
    <row r="33" customFormat="false" ht="15" hidden="false" customHeight="false" outlineLevel="0" collapsed="false">
      <c r="A33" s="25" t="s">
        <v>93</v>
      </c>
      <c r="B33" s="26" t="n">
        <v>46117</v>
      </c>
      <c r="C33" s="25" t="s">
        <v>62</v>
      </c>
      <c r="D33" s="27" t="n">
        <v>12200</v>
      </c>
      <c r="E33" s="28"/>
      <c r="F33" s="29" t="n">
        <f aca="false">IF(ISNUMBER(B33),B33+IF(ISNUMBER(E33),E33,$C$5),"")</f>
        <v>46147</v>
      </c>
      <c r="G33" s="14" t="n">
        <f aca="false">IF(AND(A33&lt;&gt;"",ISNUMBER(B33),B33&lt;=Fatture!$C$4),SUMIFS(Incassi!$C$5:$C$124,Incassi!$D$5:$D$124,A33,Incassi!$A$5:$A$124,"&lt;="&amp;Fatture!$C$4),"")</f>
        <v>12200</v>
      </c>
      <c r="H33" s="14" t="n">
        <f aca="false">IF(AND(A33&lt;&gt;"",ISNUMBER(B33),B33&lt;=Fatture!$C$4),D33-G33,"")</f>
        <v>0</v>
      </c>
      <c r="I33" s="30" t="str">
        <f aca="false">IF(A33="","",IF(NOT(AND(A33&lt;&gt;"",ISNUMBER(B33),B33&lt;=Fatture!$C$4)),"Dopo la data",IF(H33&lt;0,"Incassata più del dovuto",IF(H33=0,"Incassata",IF(F33&gt;=Fatture!$C$4,"Da incassare",IF(G33&gt;0,"Scaduta, in parte","Scaduta"))))))</f>
        <v>Incassata</v>
      </c>
      <c r="J33" s="16" t="str">
        <f aca="false">IF(AND(ISNUMBER(H33),H33&gt;0),MAX(0,Fatture!$C$4-F33),"")</f>
        <v/>
      </c>
      <c r="K33" s="30" t="str">
        <f aca="false">IF(J33="","",IF(J33=0,"Non scaduto",IF(J33&lt;=30,"1-30 giorni",IF(J33&lt;=60,"31-60 giorni",IF(J33&lt;=90,"61-90 giorni","Oltre 90 giorni")))))</f>
        <v/>
      </c>
      <c r="L33" s="29" t="n">
        <f aca="false">IF(I33="Incassata",SUMPRODUCT(MAX((Incassi!$D$5:$D$124=A33)*(Incassi!$A$5:$A$124&lt;=Fatture!$C$4)*Incassi!$A$5:$A$124)),"")</f>
        <v>46147</v>
      </c>
      <c r="M33" s="16" t="n">
        <f aca="false">IF(ISNUMBER(L33),L33-B33,"")</f>
        <v>30</v>
      </c>
      <c r="N33" s="14" t="n">
        <f aca="false">IF(ISNUMBER(M33),M33*D33,"")</f>
        <v>366000</v>
      </c>
      <c r="O33" s="16" t="str">
        <f aca="false">IF(AND(AND(A33&lt;&gt;"",ISNUMBER(B33),B33&lt;=Fatture!$C$4),C33&lt;&gt;""),IF(COUNTIF($C$9:C33,C33)=1,MAX($O$8:O32)+1,""),"")</f>
        <v/>
      </c>
    </row>
    <row r="34" customFormat="false" ht="15" hidden="false" customHeight="false" outlineLevel="0" collapsed="false">
      <c r="A34" s="25" t="s">
        <v>94</v>
      </c>
      <c r="B34" s="26" t="n">
        <v>46122</v>
      </c>
      <c r="C34" s="25" t="s">
        <v>64</v>
      </c>
      <c r="D34" s="27" t="n">
        <v>8540</v>
      </c>
      <c r="E34" s="28" t="n">
        <v>60</v>
      </c>
      <c r="F34" s="29" t="n">
        <f aca="false">IF(ISNUMBER(B34),B34+IF(ISNUMBER(E34),E34,$C$5),"")</f>
        <v>46182</v>
      </c>
      <c r="G34" s="14" t="n">
        <f aca="false">IF(AND(A34&lt;&gt;"",ISNUMBER(B34),B34&lt;=Fatture!$C$4),SUMIFS(Incassi!$C$5:$C$124,Incassi!$D$5:$D$124,A34,Incassi!$A$5:$A$124,"&lt;="&amp;Fatture!$C$4),"")</f>
        <v>8540</v>
      </c>
      <c r="H34" s="14" t="n">
        <f aca="false">IF(AND(A34&lt;&gt;"",ISNUMBER(B34),B34&lt;=Fatture!$C$4),D34-G34,"")</f>
        <v>0</v>
      </c>
      <c r="I34" s="30" t="str">
        <f aca="false">IF(A34="","",IF(NOT(AND(A34&lt;&gt;"",ISNUMBER(B34),B34&lt;=Fatture!$C$4)),"Dopo la data",IF(H34&lt;0,"Incassata più del dovuto",IF(H34=0,"Incassata",IF(F34&gt;=Fatture!$C$4,"Da incassare",IF(G34&gt;0,"Scaduta, in parte","Scaduta"))))))</f>
        <v>Incassata</v>
      </c>
      <c r="J34" s="16" t="str">
        <f aca="false">IF(AND(ISNUMBER(H34),H34&gt;0),MAX(0,Fatture!$C$4-F34),"")</f>
        <v/>
      </c>
      <c r="K34" s="30" t="str">
        <f aca="false">IF(J34="","",IF(J34=0,"Non scaduto",IF(J34&lt;=30,"1-30 giorni",IF(J34&lt;=60,"31-60 giorni",IF(J34&lt;=90,"61-90 giorni","Oltre 90 giorni")))))</f>
        <v/>
      </c>
      <c r="L34" s="29" t="n">
        <f aca="false">IF(I34="Incassata",SUMPRODUCT(MAX((Incassi!$D$5:$D$124=A34)*(Incassi!$A$5:$A$124&lt;=Fatture!$C$4)*Incassi!$A$5:$A$124)),"")</f>
        <v>46182</v>
      </c>
      <c r="M34" s="16" t="n">
        <f aca="false">IF(ISNUMBER(L34),L34-B34,"")</f>
        <v>60</v>
      </c>
      <c r="N34" s="14" t="n">
        <f aca="false">IF(ISNUMBER(M34),M34*D34,"")</f>
        <v>512400</v>
      </c>
      <c r="O34" s="16" t="str">
        <f aca="false">IF(AND(AND(A34&lt;&gt;"",ISNUMBER(B34),B34&lt;=Fatture!$C$4),C34&lt;&gt;""),IF(COUNTIF($C$9:C34,C34)=1,MAX($O$8:O33)+1,""),"")</f>
        <v/>
      </c>
    </row>
    <row r="35" customFormat="false" ht="15" hidden="false" customHeight="false" outlineLevel="0" collapsed="false">
      <c r="A35" s="25" t="s">
        <v>95</v>
      </c>
      <c r="B35" s="26" t="n">
        <v>46127</v>
      </c>
      <c r="C35" s="25" t="s">
        <v>66</v>
      </c>
      <c r="D35" s="27" t="n">
        <v>15860</v>
      </c>
      <c r="E35" s="28"/>
      <c r="F35" s="29" t="n">
        <f aca="false">IF(ISNUMBER(B35),B35+IF(ISNUMBER(E35),E35,$C$5),"")</f>
        <v>46157</v>
      </c>
      <c r="G35" s="14" t="n">
        <f aca="false">IF(AND(A35&lt;&gt;"",ISNUMBER(B35),B35&lt;=Fatture!$C$4),SUMIFS(Incassi!$C$5:$C$124,Incassi!$D$5:$D$124,A35,Incassi!$A$5:$A$124,"&lt;="&amp;Fatture!$C$4),"")</f>
        <v>15860</v>
      </c>
      <c r="H35" s="14" t="n">
        <f aca="false">IF(AND(A35&lt;&gt;"",ISNUMBER(B35),B35&lt;=Fatture!$C$4),D35-G35,"")</f>
        <v>0</v>
      </c>
      <c r="I35" s="30" t="str">
        <f aca="false">IF(A35="","",IF(NOT(AND(A35&lt;&gt;"",ISNUMBER(B35),B35&lt;=Fatture!$C$4)),"Dopo la data",IF(H35&lt;0,"Incassata più del dovuto",IF(H35=0,"Incassata",IF(F35&gt;=Fatture!$C$4,"Da incassare",IF(G35&gt;0,"Scaduta, in parte","Scaduta"))))))</f>
        <v>Incassata</v>
      </c>
      <c r="J35" s="16" t="str">
        <f aca="false">IF(AND(ISNUMBER(H35),H35&gt;0),MAX(0,Fatture!$C$4-F35),"")</f>
        <v/>
      </c>
      <c r="K35" s="30" t="str">
        <f aca="false">IF(J35="","",IF(J35=0,"Non scaduto",IF(J35&lt;=30,"1-30 giorni",IF(J35&lt;=60,"31-60 giorni",IF(J35&lt;=90,"61-90 giorni","Oltre 90 giorni")))))</f>
        <v/>
      </c>
      <c r="L35" s="29" t="n">
        <f aca="false">IF(I35="Incassata",SUMPRODUCT(MAX((Incassi!$D$5:$D$124=A35)*(Incassi!$A$5:$A$124&lt;=Fatture!$C$4)*Incassi!$A$5:$A$124)),"")</f>
        <v>46202</v>
      </c>
      <c r="M35" s="16" t="n">
        <f aca="false">IF(ISNUMBER(L35),L35-B35,"")</f>
        <v>75</v>
      </c>
      <c r="N35" s="14" t="n">
        <f aca="false">IF(ISNUMBER(M35),M35*D35,"")</f>
        <v>1189500</v>
      </c>
      <c r="O35" s="16" t="str">
        <f aca="false">IF(AND(AND(A35&lt;&gt;"",ISNUMBER(B35),B35&lt;=Fatture!$C$4),C35&lt;&gt;""),IF(COUNTIF($C$9:C35,C35)=1,MAX($O$8:O34)+1,""),"")</f>
        <v/>
      </c>
    </row>
    <row r="36" customFormat="false" ht="15" hidden="false" customHeight="false" outlineLevel="0" collapsed="false">
      <c r="A36" s="25" t="s">
        <v>96</v>
      </c>
      <c r="B36" s="26" t="n">
        <v>46132</v>
      </c>
      <c r="C36" s="25" t="s">
        <v>68</v>
      </c>
      <c r="D36" s="27" t="n">
        <v>4880</v>
      </c>
      <c r="E36" s="28"/>
      <c r="F36" s="29" t="n">
        <f aca="false">IF(ISNUMBER(B36),B36+IF(ISNUMBER(E36),E36,$C$5),"")</f>
        <v>46162</v>
      </c>
      <c r="G36" s="14" t="n">
        <f aca="false">IF(AND(A36&lt;&gt;"",ISNUMBER(B36),B36&lt;=Fatture!$C$4),SUMIFS(Incassi!$C$5:$C$124,Incassi!$D$5:$D$124,A36,Incassi!$A$5:$A$124,"&lt;="&amp;Fatture!$C$4),"")</f>
        <v>4880</v>
      </c>
      <c r="H36" s="14" t="n">
        <f aca="false">IF(AND(A36&lt;&gt;"",ISNUMBER(B36),B36&lt;=Fatture!$C$4),D36-G36,"")</f>
        <v>0</v>
      </c>
      <c r="I36" s="30" t="str">
        <f aca="false">IF(A36="","",IF(NOT(AND(A36&lt;&gt;"",ISNUMBER(B36),B36&lt;=Fatture!$C$4)),"Dopo la data",IF(H36&lt;0,"Incassata più del dovuto",IF(H36=0,"Incassata",IF(F36&gt;=Fatture!$C$4,"Da incassare",IF(G36&gt;0,"Scaduta, in parte","Scaduta"))))))</f>
        <v>Incassata</v>
      </c>
      <c r="J36" s="16" t="str">
        <f aca="false">IF(AND(ISNUMBER(H36),H36&gt;0),MAX(0,Fatture!$C$4-F36),"")</f>
        <v/>
      </c>
      <c r="K36" s="30" t="str">
        <f aca="false">IF(J36="","",IF(J36=0,"Non scaduto",IF(J36&lt;=30,"1-30 giorni",IF(J36&lt;=60,"31-60 giorni",IF(J36&lt;=90,"61-90 giorni","Oltre 90 giorni")))))</f>
        <v/>
      </c>
      <c r="L36" s="29" t="n">
        <f aca="false">IF(I36="Incassata",SUMPRODUCT(MAX((Incassi!$D$5:$D$124=A36)*(Incassi!$A$5:$A$124&lt;=Fatture!$C$4)*Incassi!$A$5:$A$124)),"")</f>
        <v>46192</v>
      </c>
      <c r="M36" s="16" t="n">
        <f aca="false">IF(ISNUMBER(L36),L36-B36,"")</f>
        <v>60</v>
      </c>
      <c r="N36" s="14" t="n">
        <f aca="false">IF(ISNUMBER(M36),M36*D36,"")</f>
        <v>292800</v>
      </c>
      <c r="O36" s="16" t="str">
        <f aca="false">IF(AND(AND(A36&lt;&gt;"",ISNUMBER(B36),B36&lt;=Fatture!$C$4),C36&lt;&gt;""),IF(COUNTIF($C$9:C36,C36)=1,MAX($O$8:O35)+1,""),"")</f>
        <v/>
      </c>
    </row>
    <row r="37" customFormat="false" ht="15" hidden="false" customHeight="false" outlineLevel="0" collapsed="false">
      <c r="A37" s="25" t="s">
        <v>97</v>
      </c>
      <c r="B37" s="26" t="n">
        <v>46120</v>
      </c>
      <c r="C37" s="25" t="s">
        <v>70</v>
      </c>
      <c r="D37" s="27" t="n">
        <v>9760</v>
      </c>
      <c r="E37" s="28"/>
      <c r="F37" s="29" t="n">
        <f aca="false">IF(ISNUMBER(B37),B37+IF(ISNUMBER(E37),E37,$C$5),"")</f>
        <v>46150</v>
      </c>
      <c r="G37" s="14" t="n">
        <f aca="false">IF(AND(A37&lt;&gt;"",ISNUMBER(B37),B37&lt;=Fatture!$C$4),SUMIFS(Incassi!$C$5:$C$124,Incassi!$D$5:$D$124,A37,Incassi!$A$5:$A$124,"&lt;="&amp;Fatture!$C$4),"")</f>
        <v>0</v>
      </c>
      <c r="H37" s="14" t="n">
        <f aca="false">IF(AND(A37&lt;&gt;"",ISNUMBER(B37),B37&lt;=Fatture!$C$4),D37-G37,"")</f>
        <v>9760</v>
      </c>
      <c r="I37" s="30" t="str">
        <f aca="false">IF(A37="","",IF(NOT(AND(A37&lt;&gt;"",ISNUMBER(B37),B37&lt;=Fatture!$C$4)),"Dopo la data",IF(H37&lt;0,"Incassata più del dovuto",IF(H37=0,"Incassata",IF(F37&gt;=Fatture!$C$4,"Da incassare",IF(G37&gt;0,"Scaduta, in parte","Scaduta"))))))</f>
        <v>Scaduta</v>
      </c>
      <c r="J37" s="16" t="n">
        <f aca="false">IF(AND(ISNUMBER(H37),H37&gt;0),MAX(0,Fatture!$C$4-F37),"")</f>
        <v>145</v>
      </c>
      <c r="K37" s="30" t="str">
        <f aca="false">IF(J37="","",IF(J37=0,"Non scaduto",IF(J37&lt;=30,"1-30 giorni",IF(J37&lt;=60,"31-60 giorni",IF(J37&lt;=90,"61-90 giorni","Oltre 90 giorni")))))</f>
        <v>Oltre 90 giorni</v>
      </c>
      <c r="L37" s="29" t="str">
        <f aca="false">IF(I37="Incassata",SUMPRODUCT(MAX((Incassi!$D$5:$D$124=A37)*(Incassi!$A$5:$A$124&lt;=Fatture!$C$4)*Incassi!$A$5:$A$124)),"")</f>
        <v/>
      </c>
      <c r="M37" s="16" t="str">
        <f aca="false">IF(ISNUMBER(L37),L37-B37,"")</f>
        <v/>
      </c>
      <c r="N37" s="14" t="str">
        <f aca="false">IF(ISNUMBER(M37),M37*D37,"")</f>
        <v/>
      </c>
      <c r="O37" s="16" t="str">
        <f aca="false">IF(AND(AND(A37&lt;&gt;"",ISNUMBER(B37),B37&lt;=Fatture!$C$4),C37&lt;&gt;""),IF(COUNTIF($C$9:C37,C37)=1,MAX($O$8:O36)+1,""),"")</f>
        <v/>
      </c>
    </row>
    <row r="38" customFormat="false" ht="15" hidden="false" customHeight="false" outlineLevel="0" collapsed="false">
      <c r="A38" s="25" t="s">
        <v>98</v>
      </c>
      <c r="B38" s="26" t="n">
        <v>46137</v>
      </c>
      <c r="C38" s="25" t="s">
        <v>72</v>
      </c>
      <c r="D38" s="27" t="n">
        <v>6100</v>
      </c>
      <c r="E38" s="28"/>
      <c r="F38" s="29" t="n">
        <f aca="false">IF(ISNUMBER(B38),B38+IF(ISNUMBER(E38),E38,$C$5),"")</f>
        <v>46167</v>
      </c>
      <c r="G38" s="14" t="n">
        <f aca="false">IF(AND(A38&lt;&gt;"",ISNUMBER(B38),B38&lt;=Fatture!$C$4),SUMIFS(Incassi!$C$5:$C$124,Incassi!$D$5:$D$124,A38,Incassi!$A$5:$A$124,"&lt;="&amp;Fatture!$C$4),"")</f>
        <v>6100</v>
      </c>
      <c r="H38" s="14" t="n">
        <f aca="false">IF(AND(A38&lt;&gt;"",ISNUMBER(B38),B38&lt;=Fatture!$C$4),D38-G38,"")</f>
        <v>0</v>
      </c>
      <c r="I38" s="30" t="str">
        <f aca="false">IF(A38="","",IF(NOT(AND(A38&lt;&gt;"",ISNUMBER(B38),B38&lt;=Fatture!$C$4)),"Dopo la data",IF(H38&lt;0,"Incassata più del dovuto",IF(H38=0,"Incassata",IF(F38&gt;=Fatture!$C$4,"Da incassare",IF(G38&gt;0,"Scaduta, in parte","Scaduta"))))))</f>
        <v>Incassata</v>
      </c>
      <c r="J38" s="16" t="str">
        <f aca="false">IF(AND(ISNUMBER(H38),H38&gt;0),MAX(0,Fatture!$C$4-F38),"")</f>
        <v/>
      </c>
      <c r="K38" s="30" t="str">
        <f aca="false">IF(J38="","",IF(J38=0,"Non scaduto",IF(J38&lt;=30,"1-30 giorni",IF(J38&lt;=60,"31-60 giorni",IF(J38&lt;=90,"61-90 giorni","Oltre 90 giorni")))))</f>
        <v/>
      </c>
      <c r="L38" s="29" t="n">
        <f aca="false">IF(I38="Incassata",SUMPRODUCT(MAX((Incassi!$D$5:$D$124=A38)*(Incassi!$A$5:$A$124&lt;=Fatture!$C$4)*Incassi!$A$5:$A$124)),"")</f>
        <v>46177</v>
      </c>
      <c r="M38" s="16" t="n">
        <f aca="false">IF(ISNUMBER(L38),L38-B38,"")</f>
        <v>40</v>
      </c>
      <c r="N38" s="14" t="n">
        <f aca="false">IF(ISNUMBER(M38),M38*D38,"")</f>
        <v>244000</v>
      </c>
      <c r="O38" s="16" t="str">
        <f aca="false">IF(AND(AND(A38&lt;&gt;"",ISNUMBER(B38),B38&lt;=Fatture!$C$4),C38&lt;&gt;""),IF(COUNTIF($C$9:C38,C38)=1,MAX($O$8:O37)+1,""),"")</f>
        <v/>
      </c>
    </row>
    <row r="39" customFormat="false" ht="15" hidden="false" customHeight="false" outlineLevel="0" collapsed="false">
      <c r="A39" s="25" t="s">
        <v>99</v>
      </c>
      <c r="B39" s="26" t="n">
        <v>46124</v>
      </c>
      <c r="C39" s="25" t="s">
        <v>74</v>
      </c>
      <c r="D39" s="27" t="n">
        <v>3660</v>
      </c>
      <c r="E39" s="28"/>
      <c r="F39" s="29" t="n">
        <f aca="false">IF(ISNUMBER(B39),B39+IF(ISNUMBER(E39),E39,$C$5),"")</f>
        <v>46154</v>
      </c>
      <c r="G39" s="14" t="n">
        <f aca="false">IF(AND(A39&lt;&gt;"",ISNUMBER(B39),B39&lt;=Fatture!$C$4),SUMIFS(Incassi!$C$5:$C$124,Incassi!$D$5:$D$124,A39,Incassi!$A$5:$A$124,"&lt;="&amp;Fatture!$C$4),"")</f>
        <v>3660</v>
      </c>
      <c r="H39" s="14" t="n">
        <f aca="false">IF(AND(A39&lt;&gt;"",ISNUMBER(B39),B39&lt;=Fatture!$C$4),D39-G39,"")</f>
        <v>0</v>
      </c>
      <c r="I39" s="30" t="str">
        <f aca="false">IF(A39="","",IF(NOT(AND(A39&lt;&gt;"",ISNUMBER(B39),B39&lt;=Fatture!$C$4)),"Dopo la data",IF(H39&lt;0,"Incassata più del dovuto",IF(H39=0,"Incassata",IF(F39&gt;=Fatture!$C$4,"Da incassare",IF(G39&gt;0,"Scaduta, in parte","Scaduta"))))))</f>
        <v>Incassata</v>
      </c>
      <c r="J39" s="16" t="str">
        <f aca="false">IF(AND(ISNUMBER(H39),H39&gt;0),MAX(0,Fatture!$C$4-F39),"")</f>
        <v/>
      </c>
      <c r="K39" s="30" t="str">
        <f aca="false">IF(J39="","",IF(J39=0,"Non scaduto",IF(J39&lt;=30,"1-30 giorni",IF(J39&lt;=60,"31-60 giorni",IF(J39&lt;=90,"61-90 giorni","Oltre 90 giorni")))))</f>
        <v/>
      </c>
      <c r="L39" s="29" t="n">
        <f aca="false">IF(I39="Incassata",SUMPRODUCT(MAX((Incassi!$D$5:$D$124=A39)*(Incassi!$A$5:$A$124&lt;=Fatture!$C$4)*Incassi!$A$5:$A$124)),"")</f>
        <v>46154</v>
      </c>
      <c r="M39" s="16" t="n">
        <f aca="false">IF(ISNUMBER(L39),L39-B39,"")</f>
        <v>30</v>
      </c>
      <c r="N39" s="14" t="n">
        <f aca="false">IF(ISNUMBER(M39),M39*D39,"")</f>
        <v>109800</v>
      </c>
      <c r="O39" s="16" t="str">
        <f aca="false">IF(AND(AND(A39&lt;&gt;"",ISNUMBER(B39),B39&lt;=Fatture!$C$4),C39&lt;&gt;""),IF(COUNTIF($C$9:C39,C39)=1,MAX($O$8:O38)+1,""),"")</f>
        <v/>
      </c>
    </row>
    <row r="40" customFormat="false" ht="15" hidden="false" customHeight="false" outlineLevel="0" collapsed="false">
      <c r="A40" s="25" t="s">
        <v>100</v>
      </c>
      <c r="B40" s="26" t="n">
        <v>46140</v>
      </c>
      <c r="C40" s="25" t="s">
        <v>76</v>
      </c>
      <c r="D40" s="27" t="n">
        <v>7320</v>
      </c>
      <c r="E40" s="28" t="n">
        <v>90</v>
      </c>
      <c r="F40" s="29" t="n">
        <f aca="false">IF(ISNUMBER(B40),B40+IF(ISNUMBER(E40),E40,$C$5),"")</f>
        <v>46230</v>
      </c>
      <c r="G40" s="14" t="n">
        <f aca="false">IF(AND(A40&lt;&gt;"",ISNUMBER(B40),B40&lt;=Fatture!$C$4),SUMIFS(Incassi!$C$5:$C$124,Incassi!$D$5:$D$124,A40,Incassi!$A$5:$A$124,"&lt;="&amp;Fatture!$C$4),"")</f>
        <v>7320</v>
      </c>
      <c r="H40" s="14" t="n">
        <f aca="false">IF(AND(A40&lt;&gt;"",ISNUMBER(B40),B40&lt;=Fatture!$C$4),D40-G40,"")</f>
        <v>0</v>
      </c>
      <c r="I40" s="30" t="str">
        <f aca="false">IF(A40="","",IF(NOT(AND(A40&lt;&gt;"",ISNUMBER(B40),B40&lt;=Fatture!$C$4)),"Dopo la data",IF(H40&lt;0,"Incassata più del dovuto",IF(H40=0,"Incassata",IF(F40&gt;=Fatture!$C$4,"Da incassare",IF(G40&gt;0,"Scaduta, in parte","Scaduta"))))))</f>
        <v>Incassata</v>
      </c>
      <c r="J40" s="16" t="str">
        <f aca="false">IF(AND(ISNUMBER(H40),H40&gt;0),MAX(0,Fatture!$C$4-F40),"")</f>
        <v/>
      </c>
      <c r="K40" s="30" t="str">
        <f aca="false">IF(J40="","",IF(J40=0,"Non scaduto",IF(J40&lt;=30,"1-30 giorni",IF(J40&lt;=60,"31-60 giorni",IF(J40&lt;=90,"61-90 giorni","Oltre 90 giorni")))))</f>
        <v/>
      </c>
      <c r="L40" s="29" t="n">
        <f aca="false">IF(I40="Incassata",SUMPRODUCT(MAX((Incassi!$D$5:$D$124=A40)*(Incassi!$A$5:$A$124&lt;=Fatture!$C$4)*Incassi!$A$5:$A$124)),"")</f>
        <v>46230</v>
      </c>
      <c r="M40" s="16" t="n">
        <f aca="false">IF(ISNUMBER(L40),L40-B40,"")</f>
        <v>90</v>
      </c>
      <c r="N40" s="14" t="n">
        <f aca="false">IF(ISNUMBER(M40),M40*D40,"")</f>
        <v>658800</v>
      </c>
      <c r="O40" s="16" t="str">
        <f aca="false">IF(AND(AND(A40&lt;&gt;"",ISNUMBER(B40),B40&lt;=Fatture!$C$4),C40&lt;&gt;""),IF(COUNTIF($C$9:C40,C40)=1,MAX($O$8:O39)+1,""),"")</f>
        <v/>
      </c>
    </row>
    <row r="41" customFormat="false" ht="15" hidden="false" customHeight="false" outlineLevel="0" collapsed="false">
      <c r="A41" s="25" t="s">
        <v>101</v>
      </c>
      <c r="B41" s="26" t="n">
        <v>46147</v>
      </c>
      <c r="C41" s="25" t="s">
        <v>62</v>
      </c>
      <c r="D41" s="27" t="n">
        <v>12200</v>
      </c>
      <c r="E41" s="28"/>
      <c r="F41" s="29" t="n">
        <f aca="false">IF(ISNUMBER(B41),B41+IF(ISNUMBER(E41),E41,$C$5),"")</f>
        <v>46177</v>
      </c>
      <c r="G41" s="14" t="n">
        <f aca="false">IF(AND(A41&lt;&gt;"",ISNUMBER(B41),B41&lt;=Fatture!$C$4),SUMIFS(Incassi!$C$5:$C$124,Incassi!$D$5:$D$124,A41,Incassi!$A$5:$A$124,"&lt;="&amp;Fatture!$C$4),"")</f>
        <v>12200</v>
      </c>
      <c r="H41" s="14" t="n">
        <f aca="false">IF(AND(A41&lt;&gt;"",ISNUMBER(B41),B41&lt;=Fatture!$C$4),D41-G41,"")</f>
        <v>0</v>
      </c>
      <c r="I41" s="30" t="str">
        <f aca="false">IF(A41="","",IF(NOT(AND(A41&lt;&gt;"",ISNUMBER(B41),B41&lt;=Fatture!$C$4)),"Dopo la data",IF(H41&lt;0,"Incassata più del dovuto",IF(H41=0,"Incassata",IF(F41&gt;=Fatture!$C$4,"Da incassare",IF(G41&gt;0,"Scaduta, in parte","Scaduta"))))))</f>
        <v>Incassata</v>
      </c>
      <c r="J41" s="16" t="str">
        <f aca="false">IF(AND(ISNUMBER(H41),H41&gt;0),MAX(0,Fatture!$C$4-F41),"")</f>
        <v/>
      </c>
      <c r="K41" s="30" t="str">
        <f aca="false">IF(J41="","",IF(J41=0,"Non scaduto",IF(J41&lt;=30,"1-30 giorni",IF(J41&lt;=60,"31-60 giorni",IF(J41&lt;=90,"61-90 giorni","Oltre 90 giorni")))))</f>
        <v/>
      </c>
      <c r="L41" s="29" t="n">
        <f aca="false">IF(I41="Incassata",SUMPRODUCT(MAX((Incassi!$D$5:$D$124=A41)*(Incassi!$A$5:$A$124&lt;=Fatture!$C$4)*Incassi!$A$5:$A$124)),"")</f>
        <v>46177</v>
      </c>
      <c r="M41" s="16" t="n">
        <f aca="false">IF(ISNUMBER(L41),L41-B41,"")</f>
        <v>30</v>
      </c>
      <c r="N41" s="14" t="n">
        <f aca="false">IF(ISNUMBER(M41),M41*D41,"")</f>
        <v>366000</v>
      </c>
      <c r="O41" s="16" t="str">
        <f aca="false">IF(AND(AND(A41&lt;&gt;"",ISNUMBER(B41),B41&lt;=Fatture!$C$4),C41&lt;&gt;""),IF(COUNTIF($C$9:C41,C41)=1,MAX($O$8:O40)+1,""),"")</f>
        <v/>
      </c>
    </row>
    <row r="42" customFormat="false" ht="15" hidden="false" customHeight="false" outlineLevel="0" collapsed="false">
      <c r="A42" s="25" t="s">
        <v>102</v>
      </c>
      <c r="B42" s="26" t="n">
        <v>46152</v>
      </c>
      <c r="C42" s="25" t="s">
        <v>64</v>
      </c>
      <c r="D42" s="27" t="n">
        <v>8540</v>
      </c>
      <c r="E42" s="28" t="n">
        <v>60</v>
      </c>
      <c r="F42" s="29" t="n">
        <f aca="false">IF(ISNUMBER(B42),B42+IF(ISNUMBER(E42),E42,$C$5),"")</f>
        <v>46212</v>
      </c>
      <c r="G42" s="14" t="n">
        <f aca="false">IF(AND(A42&lt;&gt;"",ISNUMBER(B42),B42&lt;=Fatture!$C$4),SUMIFS(Incassi!$C$5:$C$124,Incassi!$D$5:$D$124,A42,Incassi!$A$5:$A$124,"&lt;="&amp;Fatture!$C$4),"")</f>
        <v>8540</v>
      </c>
      <c r="H42" s="14" t="n">
        <f aca="false">IF(AND(A42&lt;&gt;"",ISNUMBER(B42),B42&lt;=Fatture!$C$4),D42-G42,"")</f>
        <v>0</v>
      </c>
      <c r="I42" s="30" t="str">
        <f aca="false">IF(A42="","",IF(NOT(AND(A42&lt;&gt;"",ISNUMBER(B42),B42&lt;=Fatture!$C$4)),"Dopo la data",IF(H42&lt;0,"Incassata più del dovuto",IF(H42=0,"Incassata",IF(F42&gt;=Fatture!$C$4,"Da incassare",IF(G42&gt;0,"Scaduta, in parte","Scaduta"))))))</f>
        <v>Incassata</v>
      </c>
      <c r="J42" s="16" t="str">
        <f aca="false">IF(AND(ISNUMBER(H42),H42&gt;0),MAX(0,Fatture!$C$4-F42),"")</f>
        <v/>
      </c>
      <c r="K42" s="30" t="str">
        <f aca="false">IF(J42="","",IF(J42=0,"Non scaduto",IF(J42&lt;=30,"1-30 giorni",IF(J42&lt;=60,"31-60 giorni",IF(J42&lt;=90,"61-90 giorni","Oltre 90 giorni")))))</f>
        <v/>
      </c>
      <c r="L42" s="29" t="n">
        <f aca="false">IF(I42="Incassata",SUMPRODUCT(MAX((Incassi!$D$5:$D$124=A42)*(Incassi!$A$5:$A$124&lt;=Fatture!$C$4)*Incassi!$A$5:$A$124)),"")</f>
        <v>46212</v>
      </c>
      <c r="M42" s="16" t="n">
        <f aca="false">IF(ISNUMBER(L42),L42-B42,"")</f>
        <v>60</v>
      </c>
      <c r="N42" s="14" t="n">
        <f aca="false">IF(ISNUMBER(M42),M42*D42,"")</f>
        <v>512400</v>
      </c>
      <c r="O42" s="16" t="str">
        <f aca="false">IF(AND(AND(A42&lt;&gt;"",ISNUMBER(B42),B42&lt;=Fatture!$C$4),C42&lt;&gt;""),IF(COUNTIF($C$9:C42,C42)=1,MAX($O$8:O41)+1,""),"")</f>
        <v/>
      </c>
    </row>
    <row r="43" customFormat="false" ht="15" hidden="false" customHeight="false" outlineLevel="0" collapsed="false">
      <c r="A43" s="25" t="s">
        <v>103</v>
      </c>
      <c r="B43" s="26" t="n">
        <v>46157</v>
      </c>
      <c r="C43" s="25" t="s">
        <v>66</v>
      </c>
      <c r="D43" s="27" t="n">
        <v>15860</v>
      </c>
      <c r="E43" s="28"/>
      <c r="F43" s="29" t="n">
        <f aca="false">IF(ISNUMBER(B43),B43+IF(ISNUMBER(E43),E43,$C$5),"")</f>
        <v>46187</v>
      </c>
      <c r="G43" s="14" t="n">
        <f aca="false">IF(AND(A43&lt;&gt;"",ISNUMBER(B43),B43&lt;=Fatture!$C$4),SUMIFS(Incassi!$C$5:$C$124,Incassi!$D$5:$D$124,A43,Incassi!$A$5:$A$124,"&lt;="&amp;Fatture!$C$4),"")</f>
        <v>15860</v>
      </c>
      <c r="H43" s="14" t="n">
        <f aca="false">IF(AND(A43&lt;&gt;"",ISNUMBER(B43),B43&lt;=Fatture!$C$4),D43-G43,"")</f>
        <v>0</v>
      </c>
      <c r="I43" s="30" t="str">
        <f aca="false">IF(A43="","",IF(NOT(AND(A43&lt;&gt;"",ISNUMBER(B43),B43&lt;=Fatture!$C$4)),"Dopo la data",IF(H43&lt;0,"Incassata più del dovuto",IF(H43=0,"Incassata",IF(F43&gt;=Fatture!$C$4,"Da incassare",IF(G43&gt;0,"Scaduta, in parte","Scaduta"))))))</f>
        <v>Incassata</v>
      </c>
      <c r="J43" s="16" t="str">
        <f aca="false">IF(AND(ISNUMBER(H43),H43&gt;0),MAX(0,Fatture!$C$4-F43),"")</f>
        <v/>
      </c>
      <c r="K43" s="30" t="str">
        <f aca="false">IF(J43="","",IF(J43=0,"Non scaduto",IF(J43&lt;=30,"1-30 giorni",IF(J43&lt;=60,"31-60 giorni",IF(J43&lt;=90,"61-90 giorni","Oltre 90 giorni")))))</f>
        <v/>
      </c>
      <c r="L43" s="29" t="n">
        <f aca="false">IF(I43="Incassata",SUMPRODUCT(MAX((Incassi!$D$5:$D$124=A43)*(Incassi!$A$5:$A$124&lt;=Fatture!$C$4)*Incassi!$A$5:$A$124)),"")</f>
        <v>46232</v>
      </c>
      <c r="M43" s="16" t="n">
        <f aca="false">IF(ISNUMBER(L43),L43-B43,"")</f>
        <v>75</v>
      </c>
      <c r="N43" s="14" t="n">
        <f aca="false">IF(ISNUMBER(M43),M43*D43,"")</f>
        <v>1189500</v>
      </c>
      <c r="O43" s="16" t="str">
        <f aca="false">IF(AND(AND(A43&lt;&gt;"",ISNUMBER(B43),B43&lt;=Fatture!$C$4),C43&lt;&gt;""),IF(COUNTIF($C$9:C43,C43)=1,MAX($O$8:O42)+1,""),"")</f>
        <v/>
      </c>
    </row>
    <row r="44" customFormat="false" ht="15" hidden="false" customHeight="false" outlineLevel="0" collapsed="false">
      <c r="A44" s="25" t="s">
        <v>104</v>
      </c>
      <c r="B44" s="26" t="n">
        <v>46162</v>
      </c>
      <c r="C44" s="25" t="s">
        <v>68</v>
      </c>
      <c r="D44" s="27" t="n">
        <v>4880</v>
      </c>
      <c r="E44" s="28"/>
      <c r="F44" s="29" t="n">
        <f aca="false">IF(ISNUMBER(B44),B44+IF(ISNUMBER(E44),E44,$C$5),"")</f>
        <v>46192</v>
      </c>
      <c r="G44" s="14" t="n">
        <f aca="false">IF(AND(A44&lt;&gt;"",ISNUMBER(B44),B44&lt;=Fatture!$C$4),SUMIFS(Incassi!$C$5:$C$124,Incassi!$D$5:$D$124,A44,Incassi!$A$5:$A$124,"&lt;="&amp;Fatture!$C$4),"")</f>
        <v>4880</v>
      </c>
      <c r="H44" s="14" t="n">
        <f aca="false">IF(AND(A44&lt;&gt;"",ISNUMBER(B44),B44&lt;=Fatture!$C$4),D44-G44,"")</f>
        <v>0</v>
      </c>
      <c r="I44" s="30" t="str">
        <f aca="false">IF(A44="","",IF(NOT(AND(A44&lt;&gt;"",ISNUMBER(B44),B44&lt;=Fatture!$C$4)),"Dopo la data",IF(H44&lt;0,"Incassata più del dovuto",IF(H44=0,"Incassata",IF(F44&gt;=Fatture!$C$4,"Da incassare",IF(G44&gt;0,"Scaduta, in parte","Scaduta"))))))</f>
        <v>Incassata</v>
      </c>
      <c r="J44" s="16" t="str">
        <f aca="false">IF(AND(ISNUMBER(H44),H44&gt;0),MAX(0,Fatture!$C$4-F44),"")</f>
        <v/>
      </c>
      <c r="K44" s="30" t="str">
        <f aca="false">IF(J44="","",IF(J44=0,"Non scaduto",IF(J44&lt;=30,"1-30 giorni",IF(J44&lt;=60,"31-60 giorni",IF(J44&lt;=90,"61-90 giorni","Oltre 90 giorni")))))</f>
        <v/>
      </c>
      <c r="L44" s="29" t="n">
        <f aca="false">IF(I44="Incassata",SUMPRODUCT(MAX((Incassi!$D$5:$D$124=A44)*(Incassi!$A$5:$A$124&lt;=Fatture!$C$4)*Incassi!$A$5:$A$124)),"")</f>
        <v>46222</v>
      </c>
      <c r="M44" s="16" t="n">
        <f aca="false">IF(ISNUMBER(L44),L44-B44,"")</f>
        <v>60</v>
      </c>
      <c r="N44" s="14" t="n">
        <f aca="false">IF(ISNUMBER(M44),M44*D44,"")</f>
        <v>292800</v>
      </c>
      <c r="O44" s="16" t="str">
        <f aca="false">IF(AND(AND(A44&lt;&gt;"",ISNUMBER(B44),B44&lt;=Fatture!$C$4),C44&lt;&gt;""),IF(COUNTIF($C$9:C44,C44)=1,MAX($O$8:O43)+1,""),"")</f>
        <v/>
      </c>
    </row>
    <row r="45" customFormat="false" ht="15" hidden="false" customHeight="false" outlineLevel="0" collapsed="false">
      <c r="A45" s="25" t="s">
        <v>105</v>
      </c>
      <c r="B45" s="26" t="n">
        <v>46150</v>
      </c>
      <c r="C45" s="25" t="s">
        <v>70</v>
      </c>
      <c r="D45" s="27" t="n">
        <v>9760</v>
      </c>
      <c r="E45" s="28"/>
      <c r="F45" s="29" t="n">
        <f aca="false">IF(ISNUMBER(B45),B45+IF(ISNUMBER(E45),E45,$C$5),"")</f>
        <v>46180</v>
      </c>
      <c r="G45" s="14" t="n">
        <f aca="false">IF(AND(A45&lt;&gt;"",ISNUMBER(B45),B45&lt;=Fatture!$C$4),SUMIFS(Incassi!$C$5:$C$124,Incassi!$D$5:$D$124,A45,Incassi!$A$5:$A$124,"&lt;="&amp;Fatture!$C$4),"")</f>
        <v>0</v>
      </c>
      <c r="H45" s="14" t="n">
        <f aca="false">IF(AND(A45&lt;&gt;"",ISNUMBER(B45),B45&lt;=Fatture!$C$4),D45-G45,"")</f>
        <v>9760</v>
      </c>
      <c r="I45" s="30" t="str">
        <f aca="false">IF(A45="","",IF(NOT(AND(A45&lt;&gt;"",ISNUMBER(B45),B45&lt;=Fatture!$C$4)),"Dopo la data",IF(H45&lt;0,"Incassata più del dovuto",IF(H45=0,"Incassata",IF(F45&gt;=Fatture!$C$4,"Da incassare",IF(G45&gt;0,"Scaduta, in parte","Scaduta"))))))</f>
        <v>Scaduta</v>
      </c>
      <c r="J45" s="16" t="n">
        <f aca="false">IF(AND(ISNUMBER(H45),H45&gt;0),MAX(0,Fatture!$C$4-F45),"")</f>
        <v>115</v>
      </c>
      <c r="K45" s="30" t="str">
        <f aca="false">IF(J45="","",IF(J45=0,"Non scaduto",IF(J45&lt;=30,"1-30 giorni",IF(J45&lt;=60,"31-60 giorni",IF(J45&lt;=90,"61-90 giorni","Oltre 90 giorni")))))</f>
        <v>Oltre 90 giorni</v>
      </c>
      <c r="L45" s="29" t="str">
        <f aca="false">IF(I45="Incassata",SUMPRODUCT(MAX((Incassi!$D$5:$D$124=A45)*(Incassi!$A$5:$A$124&lt;=Fatture!$C$4)*Incassi!$A$5:$A$124)),"")</f>
        <v/>
      </c>
      <c r="M45" s="16" t="str">
        <f aca="false">IF(ISNUMBER(L45),L45-B45,"")</f>
        <v/>
      </c>
      <c r="N45" s="14" t="str">
        <f aca="false">IF(ISNUMBER(M45),M45*D45,"")</f>
        <v/>
      </c>
      <c r="O45" s="16" t="str">
        <f aca="false">IF(AND(AND(A45&lt;&gt;"",ISNUMBER(B45),B45&lt;=Fatture!$C$4),C45&lt;&gt;""),IF(COUNTIF($C$9:C45,C45)=1,MAX($O$8:O44)+1,""),"")</f>
        <v/>
      </c>
    </row>
    <row r="46" customFormat="false" ht="15" hidden="false" customHeight="false" outlineLevel="0" collapsed="false">
      <c r="A46" s="25" t="s">
        <v>106</v>
      </c>
      <c r="B46" s="26" t="n">
        <v>46167</v>
      </c>
      <c r="C46" s="25" t="s">
        <v>72</v>
      </c>
      <c r="D46" s="27" t="n">
        <v>6100</v>
      </c>
      <c r="E46" s="28"/>
      <c r="F46" s="29" t="n">
        <f aca="false">IF(ISNUMBER(B46),B46+IF(ISNUMBER(E46),E46,$C$5),"")</f>
        <v>46197</v>
      </c>
      <c r="G46" s="14" t="n">
        <f aca="false">IF(AND(A46&lt;&gt;"",ISNUMBER(B46),B46&lt;=Fatture!$C$4),SUMIFS(Incassi!$C$5:$C$124,Incassi!$D$5:$D$124,A46,Incassi!$A$5:$A$124,"&lt;="&amp;Fatture!$C$4),"")</f>
        <v>6100</v>
      </c>
      <c r="H46" s="14" t="n">
        <f aca="false">IF(AND(A46&lt;&gt;"",ISNUMBER(B46),B46&lt;=Fatture!$C$4),D46-G46,"")</f>
        <v>0</v>
      </c>
      <c r="I46" s="30" t="str">
        <f aca="false">IF(A46="","",IF(NOT(AND(A46&lt;&gt;"",ISNUMBER(B46),B46&lt;=Fatture!$C$4)),"Dopo la data",IF(H46&lt;0,"Incassata più del dovuto",IF(H46=0,"Incassata",IF(F46&gt;=Fatture!$C$4,"Da incassare",IF(G46&gt;0,"Scaduta, in parte","Scaduta"))))))</f>
        <v>Incassata</v>
      </c>
      <c r="J46" s="16" t="str">
        <f aca="false">IF(AND(ISNUMBER(H46),H46&gt;0),MAX(0,Fatture!$C$4-F46),"")</f>
        <v/>
      </c>
      <c r="K46" s="30" t="str">
        <f aca="false">IF(J46="","",IF(J46=0,"Non scaduto",IF(J46&lt;=30,"1-30 giorni",IF(J46&lt;=60,"31-60 giorni",IF(J46&lt;=90,"61-90 giorni","Oltre 90 giorni")))))</f>
        <v/>
      </c>
      <c r="L46" s="29" t="n">
        <f aca="false">IF(I46="Incassata",SUMPRODUCT(MAX((Incassi!$D$5:$D$124=A46)*(Incassi!$A$5:$A$124&lt;=Fatture!$C$4)*Incassi!$A$5:$A$124)),"")</f>
        <v>46207</v>
      </c>
      <c r="M46" s="16" t="n">
        <f aca="false">IF(ISNUMBER(L46),L46-B46,"")</f>
        <v>40</v>
      </c>
      <c r="N46" s="14" t="n">
        <f aca="false">IF(ISNUMBER(M46),M46*D46,"")</f>
        <v>244000</v>
      </c>
      <c r="O46" s="16" t="str">
        <f aca="false">IF(AND(AND(A46&lt;&gt;"",ISNUMBER(B46),B46&lt;=Fatture!$C$4),C46&lt;&gt;""),IF(COUNTIF($C$9:C46,C46)=1,MAX($O$8:O45)+1,""),"")</f>
        <v/>
      </c>
    </row>
    <row r="47" customFormat="false" ht="15" hidden="false" customHeight="false" outlineLevel="0" collapsed="false">
      <c r="A47" s="25" t="s">
        <v>107</v>
      </c>
      <c r="B47" s="26" t="n">
        <v>46154</v>
      </c>
      <c r="C47" s="25" t="s">
        <v>74</v>
      </c>
      <c r="D47" s="27" t="n">
        <v>3660</v>
      </c>
      <c r="E47" s="28"/>
      <c r="F47" s="29" t="n">
        <f aca="false">IF(ISNUMBER(B47),B47+IF(ISNUMBER(E47),E47,$C$5),"")</f>
        <v>46184</v>
      </c>
      <c r="G47" s="14" t="n">
        <f aca="false">IF(AND(A47&lt;&gt;"",ISNUMBER(B47),B47&lt;=Fatture!$C$4),SUMIFS(Incassi!$C$5:$C$124,Incassi!$D$5:$D$124,A47,Incassi!$A$5:$A$124,"&lt;="&amp;Fatture!$C$4),"")</f>
        <v>3660</v>
      </c>
      <c r="H47" s="14" t="n">
        <f aca="false">IF(AND(A47&lt;&gt;"",ISNUMBER(B47),B47&lt;=Fatture!$C$4),D47-G47,"")</f>
        <v>0</v>
      </c>
      <c r="I47" s="30" t="str">
        <f aca="false">IF(A47="","",IF(NOT(AND(A47&lt;&gt;"",ISNUMBER(B47),B47&lt;=Fatture!$C$4)),"Dopo la data",IF(H47&lt;0,"Incassata più del dovuto",IF(H47=0,"Incassata",IF(F47&gt;=Fatture!$C$4,"Da incassare",IF(G47&gt;0,"Scaduta, in parte","Scaduta"))))))</f>
        <v>Incassata</v>
      </c>
      <c r="J47" s="16" t="str">
        <f aca="false">IF(AND(ISNUMBER(H47),H47&gt;0),MAX(0,Fatture!$C$4-F47),"")</f>
        <v/>
      </c>
      <c r="K47" s="30" t="str">
        <f aca="false">IF(J47="","",IF(J47=0,"Non scaduto",IF(J47&lt;=30,"1-30 giorni",IF(J47&lt;=60,"31-60 giorni",IF(J47&lt;=90,"61-90 giorni","Oltre 90 giorni")))))</f>
        <v/>
      </c>
      <c r="L47" s="29" t="n">
        <f aca="false">IF(I47="Incassata",SUMPRODUCT(MAX((Incassi!$D$5:$D$124=A47)*(Incassi!$A$5:$A$124&lt;=Fatture!$C$4)*Incassi!$A$5:$A$124)),"")</f>
        <v>46184</v>
      </c>
      <c r="M47" s="16" t="n">
        <f aca="false">IF(ISNUMBER(L47),L47-B47,"")</f>
        <v>30</v>
      </c>
      <c r="N47" s="14" t="n">
        <f aca="false">IF(ISNUMBER(M47),M47*D47,"")</f>
        <v>109800</v>
      </c>
      <c r="O47" s="16" t="str">
        <f aca="false">IF(AND(AND(A47&lt;&gt;"",ISNUMBER(B47),B47&lt;=Fatture!$C$4),C47&lt;&gt;""),IF(COUNTIF($C$9:C47,C47)=1,MAX($O$8:O46)+1,""),"")</f>
        <v/>
      </c>
    </row>
    <row r="48" customFormat="false" ht="15" hidden="false" customHeight="false" outlineLevel="0" collapsed="false">
      <c r="A48" s="25" t="s">
        <v>108</v>
      </c>
      <c r="B48" s="26" t="n">
        <v>46170</v>
      </c>
      <c r="C48" s="25" t="s">
        <v>76</v>
      </c>
      <c r="D48" s="27" t="n">
        <v>7320</v>
      </c>
      <c r="E48" s="28" t="n">
        <v>90</v>
      </c>
      <c r="F48" s="29" t="n">
        <f aca="false">IF(ISNUMBER(B48),B48+IF(ISNUMBER(E48),E48,$C$5),"")</f>
        <v>46260</v>
      </c>
      <c r="G48" s="14" t="n">
        <f aca="false">IF(AND(A48&lt;&gt;"",ISNUMBER(B48),B48&lt;=Fatture!$C$4),SUMIFS(Incassi!$C$5:$C$124,Incassi!$D$5:$D$124,A48,Incassi!$A$5:$A$124,"&lt;="&amp;Fatture!$C$4),"")</f>
        <v>7320</v>
      </c>
      <c r="H48" s="14" t="n">
        <f aca="false">IF(AND(A48&lt;&gt;"",ISNUMBER(B48),B48&lt;=Fatture!$C$4),D48-G48,"")</f>
        <v>0</v>
      </c>
      <c r="I48" s="30" t="str">
        <f aca="false">IF(A48="","",IF(NOT(AND(A48&lt;&gt;"",ISNUMBER(B48),B48&lt;=Fatture!$C$4)),"Dopo la data",IF(H48&lt;0,"Incassata più del dovuto",IF(H48=0,"Incassata",IF(F48&gt;=Fatture!$C$4,"Da incassare",IF(G48&gt;0,"Scaduta, in parte","Scaduta"))))))</f>
        <v>Incassata</v>
      </c>
      <c r="J48" s="16" t="str">
        <f aca="false">IF(AND(ISNUMBER(H48),H48&gt;0),MAX(0,Fatture!$C$4-F48),"")</f>
        <v/>
      </c>
      <c r="K48" s="30" t="str">
        <f aca="false">IF(J48="","",IF(J48=0,"Non scaduto",IF(J48&lt;=30,"1-30 giorni",IF(J48&lt;=60,"31-60 giorni",IF(J48&lt;=90,"61-90 giorni","Oltre 90 giorni")))))</f>
        <v/>
      </c>
      <c r="L48" s="29" t="n">
        <f aca="false">IF(I48="Incassata",SUMPRODUCT(MAX((Incassi!$D$5:$D$124=A48)*(Incassi!$A$5:$A$124&lt;=Fatture!$C$4)*Incassi!$A$5:$A$124)),"")</f>
        <v>46260</v>
      </c>
      <c r="M48" s="16" t="n">
        <f aca="false">IF(ISNUMBER(L48),L48-B48,"")</f>
        <v>90</v>
      </c>
      <c r="N48" s="14" t="n">
        <f aca="false">IF(ISNUMBER(M48),M48*D48,"")</f>
        <v>658800</v>
      </c>
      <c r="O48" s="16" t="str">
        <f aca="false">IF(AND(AND(A48&lt;&gt;"",ISNUMBER(B48),B48&lt;=Fatture!$C$4),C48&lt;&gt;""),IF(COUNTIF($C$9:C48,C48)=1,MAX($O$8:O47)+1,""),"")</f>
        <v/>
      </c>
    </row>
    <row r="49" customFormat="false" ht="15" hidden="false" customHeight="false" outlineLevel="0" collapsed="false">
      <c r="A49" s="25" t="s">
        <v>109</v>
      </c>
      <c r="B49" s="26" t="n">
        <v>46178</v>
      </c>
      <c r="C49" s="25" t="s">
        <v>62</v>
      </c>
      <c r="D49" s="27" t="n">
        <v>12200</v>
      </c>
      <c r="E49" s="28"/>
      <c r="F49" s="29" t="n">
        <f aca="false">IF(ISNUMBER(B49),B49+IF(ISNUMBER(E49),E49,$C$5),"")</f>
        <v>46208</v>
      </c>
      <c r="G49" s="14" t="n">
        <f aca="false">IF(AND(A49&lt;&gt;"",ISNUMBER(B49),B49&lt;=Fatture!$C$4),SUMIFS(Incassi!$C$5:$C$124,Incassi!$D$5:$D$124,A49,Incassi!$A$5:$A$124,"&lt;="&amp;Fatture!$C$4),"")</f>
        <v>12200</v>
      </c>
      <c r="H49" s="14" t="n">
        <f aca="false">IF(AND(A49&lt;&gt;"",ISNUMBER(B49),B49&lt;=Fatture!$C$4),D49-G49,"")</f>
        <v>0</v>
      </c>
      <c r="I49" s="30" t="str">
        <f aca="false">IF(A49="","",IF(NOT(AND(A49&lt;&gt;"",ISNUMBER(B49),B49&lt;=Fatture!$C$4)),"Dopo la data",IF(H49&lt;0,"Incassata più del dovuto",IF(H49=0,"Incassata",IF(F49&gt;=Fatture!$C$4,"Da incassare",IF(G49&gt;0,"Scaduta, in parte","Scaduta"))))))</f>
        <v>Incassata</v>
      </c>
      <c r="J49" s="16" t="str">
        <f aca="false">IF(AND(ISNUMBER(H49),H49&gt;0),MAX(0,Fatture!$C$4-F49),"")</f>
        <v/>
      </c>
      <c r="K49" s="30" t="str">
        <f aca="false">IF(J49="","",IF(J49=0,"Non scaduto",IF(J49&lt;=30,"1-30 giorni",IF(J49&lt;=60,"31-60 giorni",IF(J49&lt;=90,"61-90 giorni","Oltre 90 giorni")))))</f>
        <v/>
      </c>
      <c r="L49" s="29" t="n">
        <f aca="false">IF(I49="Incassata",SUMPRODUCT(MAX((Incassi!$D$5:$D$124=A49)*(Incassi!$A$5:$A$124&lt;=Fatture!$C$4)*Incassi!$A$5:$A$124)),"")</f>
        <v>46208</v>
      </c>
      <c r="M49" s="16" t="n">
        <f aca="false">IF(ISNUMBER(L49),L49-B49,"")</f>
        <v>30</v>
      </c>
      <c r="N49" s="14" t="n">
        <f aca="false">IF(ISNUMBER(M49),M49*D49,"")</f>
        <v>366000</v>
      </c>
      <c r="O49" s="16" t="str">
        <f aca="false">IF(AND(AND(A49&lt;&gt;"",ISNUMBER(B49),B49&lt;=Fatture!$C$4),C49&lt;&gt;""),IF(COUNTIF($C$9:C49,C49)=1,MAX($O$8:O48)+1,""),"")</f>
        <v/>
      </c>
    </row>
    <row r="50" customFormat="false" ht="15" hidden="false" customHeight="false" outlineLevel="0" collapsed="false">
      <c r="A50" s="25" t="s">
        <v>110</v>
      </c>
      <c r="B50" s="26" t="n">
        <v>46183</v>
      </c>
      <c r="C50" s="25" t="s">
        <v>64</v>
      </c>
      <c r="D50" s="27" t="n">
        <v>8540</v>
      </c>
      <c r="E50" s="28" t="n">
        <v>60</v>
      </c>
      <c r="F50" s="29" t="n">
        <f aca="false">IF(ISNUMBER(B50),B50+IF(ISNUMBER(E50),E50,$C$5),"")</f>
        <v>46243</v>
      </c>
      <c r="G50" s="14" t="n">
        <f aca="false">IF(AND(A50&lt;&gt;"",ISNUMBER(B50),B50&lt;=Fatture!$C$4),SUMIFS(Incassi!$C$5:$C$124,Incassi!$D$5:$D$124,A50,Incassi!$A$5:$A$124,"&lt;="&amp;Fatture!$C$4),"")</f>
        <v>8540</v>
      </c>
      <c r="H50" s="14" t="n">
        <f aca="false">IF(AND(A50&lt;&gt;"",ISNUMBER(B50),B50&lt;=Fatture!$C$4),D50-G50,"")</f>
        <v>0</v>
      </c>
      <c r="I50" s="30" t="str">
        <f aca="false">IF(A50="","",IF(NOT(AND(A50&lt;&gt;"",ISNUMBER(B50),B50&lt;=Fatture!$C$4)),"Dopo la data",IF(H50&lt;0,"Incassata più del dovuto",IF(H50=0,"Incassata",IF(F50&gt;=Fatture!$C$4,"Da incassare",IF(G50&gt;0,"Scaduta, in parte","Scaduta"))))))</f>
        <v>Incassata</v>
      </c>
      <c r="J50" s="16" t="str">
        <f aca="false">IF(AND(ISNUMBER(H50),H50&gt;0),MAX(0,Fatture!$C$4-F50),"")</f>
        <v/>
      </c>
      <c r="K50" s="30" t="str">
        <f aca="false">IF(J50="","",IF(J50=0,"Non scaduto",IF(J50&lt;=30,"1-30 giorni",IF(J50&lt;=60,"31-60 giorni",IF(J50&lt;=90,"61-90 giorni","Oltre 90 giorni")))))</f>
        <v/>
      </c>
      <c r="L50" s="29" t="n">
        <f aca="false">IF(I50="Incassata",SUMPRODUCT(MAX((Incassi!$D$5:$D$124=A50)*(Incassi!$A$5:$A$124&lt;=Fatture!$C$4)*Incassi!$A$5:$A$124)),"")</f>
        <v>46243</v>
      </c>
      <c r="M50" s="16" t="n">
        <f aca="false">IF(ISNUMBER(L50),L50-B50,"")</f>
        <v>60</v>
      </c>
      <c r="N50" s="14" t="n">
        <f aca="false">IF(ISNUMBER(M50),M50*D50,"")</f>
        <v>512400</v>
      </c>
      <c r="O50" s="16" t="str">
        <f aca="false">IF(AND(AND(A50&lt;&gt;"",ISNUMBER(B50),B50&lt;=Fatture!$C$4),C50&lt;&gt;""),IF(COUNTIF($C$9:C50,C50)=1,MAX($O$8:O49)+1,""),"")</f>
        <v/>
      </c>
    </row>
    <row r="51" customFormat="false" ht="15" hidden="false" customHeight="false" outlineLevel="0" collapsed="false">
      <c r="A51" s="25" t="s">
        <v>111</v>
      </c>
      <c r="B51" s="26" t="n">
        <v>46188</v>
      </c>
      <c r="C51" s="25" t="s">
        <v>66</v>
      </c>
      <c r="D51" s="27" t="n">
        <v>15860</v>
      </c>
      <c r="E51" s="28"/>
      <c r="F51" s="29" t="n">
        <f aca="false">IF(ISNUMBER(B51),B51+IF(ISNUMBER(E51),E51,$C$5),"")</f>
        <v>46218</v>
      </c>
      <c r="G51" s="14" t="n">
        <f aca="false">IF(AND(A51&lt;&gt;"",ISNUMBER(B51),B51&lt;=Fatture!$C$4),SUMIFS(Incassi!$C$5:$C$124,Incassi!$D$5:$D$124,A51,Incassi!$A$5:$A$124,"&lt;="&amp;Fatture!$C$4),"")</f>
        <v>15860</v>
      </c>
      <c r="H51" s="14" t="n">
        <f aca="false">IF(AND(A51&lt;&gt;"",ISNUMBER(B51),B51&lt;=Fatture!$C$4),D51-G51,"")</f>
        <v>0</v>
      </c>
      <c r="I51" s="30" t="str">
        <f aca="false">IF(A51="","",IF(NOT(AND(A51&lt;&gt;"",ISNUMBER(B51),B51&lt;=Fatture!$C$4)),"Dopo la data",IF(H51&lt;0,"Incassata più del dovuto",IF(H51=0,"Incassata",IF(F51&gt;=Fatture!$C$4,"Da incassare",IF(G51&gt;0,"Scaduta, in parte","Scaduta"))))))</f>
        <v>Incassata</v>
      </c>
      <c r="J51" s="16" t="str">
        <f aca="false">IF(AND(ISNUMBER(H51),H51&gt;0),MAX(0,Fatture!$C$4-F51),"")</f>
        <v/>
      </c>
      <c r="K51" s="30" t="str">
        <f aca="false">IF(J51="","",IF(J51=0,"Non scaduto",IF(J51&lt;=30,"1-30 giorni",IF(J51&lt;=60,"31-60 giorni",IF(J51&lt;=90,"61-90 giorni","Oltre 90 giorni")))))</f>
        <v/>
      </c>
      <c r="L51" s="29" t="n">
        <f aca="false">IF(I51="Incassata",SUMPRODUCT(MAX((Incassi!$D$5:$D$124=A51)*(Incassi!$A$5:$A$124&lt;=Fatture!$C$4)*Incassi!$A$5:$A$124)),"")</f>
        <v>46263</v>
      </c>
      <c r="M51" s="16" t="n">
        <f aca="false">IF(ISNUMBER(L51),L51-B51,"")</f>
        <v>75</v>
      </c>
      <c r="N51" s="14" t="n">
        <f aca="false">IF(ISNUMBER(M51),M51*D51,"")</f>
        <v>1189500</v>
      </c>
      <c r="O51" s="16" t="str">
        <f aca="false">IF(AND(AND(A51&lt;&gt;"",ISNUMBER(B51),B51&lt;=Fatture!$C$4),C51&lt;&gt;""),IF(COUNTIF($C$9:C51,C51)=1,MAX($O$8:O50)+1,""),"")</f>
        <v/>
      </c>
    </row>
    <row r="52" customFormat="false" ht="15" hidden="false" customHeight="false" outlineLevel="0" collapsed="false">
      <c r="A52" s="25" t="s">
        <v>112</v>
      </c>
      <c r="B52" s="26" t="n">
        <v>46193</v>
      </c>
      <c r="C52" s="25" t="s">
        <v>68</v>
      </c>
      <c r="D52" s="27" t="n">
        <v>4880</v>
      </c>
      <c r="E52" s="28"/>
      <c r="F52" s="29" t="n">
        <f aca="false">IF(ISNUMBER(B52),B52+IF(ISNUMBER(E52),E52,$C$5),"")</f>
        <v>46223</v>
      </c>
      <c r="G52" s="14" t="n">
        <f aca="false">IF(AND(A52&lt;&gt;"",ISNUMBER(B52),B52&lt;=Fatture!$C$4),SUMIFS(Incassi!$C$5:$C$124,Incassi!$D$5:$D$124,A52,Incassi!$A$5:$A$124,"&lt;="&amp;Fatture!$C$4),"")</f>
        <v>4880</v>
      </c>
      <c r="H52" s="14" t="n">
        <f aca="false">IF(AND(A52&lt;&gt;"",ISNUMBER(B52),B52&lt;=Fatture!$C$4),D52-G52,"")</f>
        <v>0</v>
      </c>
      <c r="I52" s="30" t="str">
        <f aca="false">IF(A52="","",IF(NOT(AND(A52&lt;&gt;"",ISNUMBER(B52),B52&lt;=Fatture!$C$4)),"Dopo la data",IF(H52&lt;0,"Incassata più del dovuto",IF(H52=0,"Incassata",IF(F52&gt;=Fatture!$C$4,"Da incassare",IF(G52&gt;0,"Scaduta, in parte","Scaduta"))))))</f>
        <v>Incassata</v>
      </c>
      <c r="J52" s="16" t="str">
        <f aca="false">IF(AND(ISNUMBER(H52),H52&gt;0),MAX(0,Fatture!$C$4-F52),"")</f>
        <v/>
      </c>
      <c r="K52" s="30" t="str">
        <f aca="false">IF(J52="","",IF(J52=0,"Non scaduto",IF(J52&lt;=30,"1-30 giorni",IF(J52&lt;=60,"31-60 giorni",IF(J52&lt;=90,"61-90 giorni","Oltre 90 giorni")))))</f>
        <v/>
      </c>
      <c r="L52" s="29" t="n">
        <f aca="false">IF(I52="Incassata",SUMPRODUCT(MAX((Incassi!$D$5:$D$124=A52)*(Incassi!$A$5:$A$124&lt;=Fatture!$C$4)*Incassi!$A$5:$A$124)),"")</f>
        <v>46253</v>
      </c>
      <c r="M52" s="16" t="n">
        <f aca="false">IF(ISNUMBER(L52),L52-B52,"")</f>
        <v>60</v>
      </c>
      <c r="N52" s="14" t="n">
        <f aca="false">IF(ISNUMBER(M52),M52*D52,"")</f>
        <v>292800</v>
      </c>
      <c r="O52" s="16" t="str">
        <f aca="false">IF(AND(AND(A52&lt;&gt;"",ISNUMBER(B52),B52&lt;=Fatture!$C$4),C52&lt;&gt;""),IF(COUNTIF($C$9:C52,C52)=1,MAX($O$8:O51)+1,""),"")</f>
        <v/>
      </c>
    </row>
    <row r="53" customFormat="false" ht="15" hidden="false" customHeight="false" outlineLevel="0" collapsed="false">
      <c r="A53" s="25" t="s">
        <v>113</v>
      </c>
      <c r="B53" s="26" t="n">
        <v>46181</v>
      </c>
      <c r="C53" s="25" t="s">
        <v>70</v>
      </c>
      <c r="D53" s="27" t="n">
        <v>9760</v>
      </c>
      <c r="E53" s="28"/>
      <c r="F53" s="29" t="n">
        <f aca="false">IF(ISNUMBER(B53),B53+IF(ISNUMBER(E53),E53,$C$5),"")</f>
        <v>46211</v>
      </c>
      <c r="G53" s="14" t="n">
        <f aca="false">IF(AND(A53&lt;&gt;"",ISNUMBER(B53),B53&lt;=Fatture!$C$4),SUMIFS(Incassi!$C$5:$C$124,Incassi!$D$5:$D$124,A53,Incassi!$A$5:$A$124,"&lt;="&amp;Fatture!$C$4),"")</f>
        <v>0</v>
      </c>
      <c r="H53" s="14" t="n">
        <f aca="false">IF(AND(A53&lt;&gt;"",ISNUMBER(B53),B53&lt;=Fatture!$C$4),D53-G53,"")</f>
        <v>9760</v>
      </c>
      <c r="I53" s="30" t="str">
        <f aca="false">IF(A53="","",IF(NOT(AND(A53&lt;&gt;"",ISNUMBER(B53),B53&lt;=Fatture!$C$4)),"Dopo la data",IF(H53&lt;0,"Incassata più del dovuto",IF(H53=0,"Incassata",IF(F53&gt;=Fatture!$C$4,"Da incassare",IF(G53&gt;0,"Scaduta, in parte","Scaduta"))))))</f>
        <v>Scaduta</v>
      </c>
      <c r="J53" s="16" t="n">
        <f aca="false">IF(AND(ISNUMBER(H53),H53&gt;0),MAX(0,Fatture!$C$4-F53),"")</f>
        <v>84</v>
      </c>
      <c r="K53" s="30" t="str">
        <f aca="false">IF(J53="","",IF(J53=0,"Non scaduto",IF(J53&lt;=30,"1-30 giorni",IF(J53&lt;=60,"31-60 giorni",IF(J53&lt;=90,"61-90 giorni","Oltre 90 giorni")))))</f>
        <v>61-90 giorni</v>
      </c>
      <c r="L53" s="29" t="str">
        <f aca="false">IF(I53="Incassata",SUMPRODUCT(MAX((Incassi!$D$5:$D$124=A53)*(Incassi!$A$5:$A$124&lt;=Fatture!$C$4)*Incassi!$A$5:$A$124)),"")</f>
        <v/>
      </c>
      <c r="M53" s="16" t="str">
        <f aca="false">IF(ISNUMBER(L53),L53-B53,"")</f>
        <v/>
      </c>
      <c r="N53" s="14" t="str">
        <f aca="false">IF(ISNUMBER(M53),M53*D53,"")</f>
        <v/>
      </c>
      <c r="O53" s="16" t="str">
        <f aca="false">IF(AND(AND(A53&lt;&gt;"",ISNUMBER(B53),B53&lt;=Fatture!$C$4),C53&lt;&gt;""),IF(COUNTIF($C$9:C53,C53)=1,MAX($O$8:O52)+1,""),"")</f>
        <v/>
      </c>
    </row>
    <row r="54" customFormat="false" ht="15" hidden="false" customHeight="false" outlineLevel="0" collapsed="false">
      <c r="A54" s="25" t="s">
        <v>114</v>
      </c>
      <c r="B54" s="26" t="n">
        <v>46198</v>
      </c>
      <c r="C54" s="25" t="s">
        <v>72</v>
      </c>
      <c r="D54" s="27" t="n">
        <v>6100</v>
      </c>
      <c r="E54" s="28"/>
      <c r="F54" s="29" t="n">
        <f aca="false">IF(ISNUMBER(B54),B54+IF(ISNUMBER(E54),E54,$C$5),"")</f>
        <v>46228</v>
      </c>
      <c r="G54" s="14" t="n">
        <f aca="false">IF(AND(A54&lt;&gt;"",ISNUMBER(B54),B54&lt;=Fatture!$C$4),SUMIFS(Incassi!$C$5:$C$124,Incassi!$D$5:$D$124,A54,Incassi!$A$5:$A$124,"&lt;="&amp;Fatture!$C$4),"")</f>
        <v>6100</v>
      </c>
      <c r="H54" s="14" t="n">
        <f aca="false">IF(AND(A54&lt;&gt;"",ISNUMBER(B54),B54&lt;=Fatture!$C$4),D54-G54,"")</f>
        <v>0</v>
      </c>
      <c r="I54" s="30" t="str">
        <f aca="false">IF(A54="","",IF(NOT(AND(A54&lt;&gt;"",ISNUMBER(B54),B54&lt;=Fatture!$C$4)),"Dopo la data",IF(H54&lt;0,"Incassata più del dovuto",IF(H54=0,"Incassata",IF(F54&gt;=Fatture!$C$4,"Da incassare",IF(G54&gt;0,"Scaduta, in parte","Scaduta"))))))</f>
        <v>Incassata</v>
      </c>
      <c r="J54" s="16" t="str">
        <f aca="false">IF(AND(ISNUMBER(H54),H54&gt;0),MAX(0,Fatture!$C$4-F54),"")</f>
        <v/>
      </c>
      <c r="K54" s="30" t="str">
        <f aca="false">IF(J54="","",IF(J54=0,"Non scaduto",IF(J54&lt;=30,"1-30 giorni",IF(J54&lt;=60,"31-60 giorni",IF(J54&lt;=90,"61-90 giorni","Oltre 90 giorni")))))</f>
        <v/>
      </c>
      <c r="L54" s="29" t="n">
        <f aca="false">IF(I54="Incassata",SUMPRODUCT(MAX((Incassi!$D$5:$D$124=A54)*(Incassi!$A$5:$A$124&lt;=Fatture!$C$4)*Incassi!$A$5:$A$124)),"")</f>
        <v>46238</v>
      </c>
      <c r="M54" s="16" t="n">
        <f aca="false">IF(ISNUMBER(L54),L54-B54,"")</f>
        <v>40</v>
      </c>
      <c r="N54" s="14" t="n">
        <f aca="false">IF(ISNUMBER(M54),M54*D54,"")</f>
        <v>244000</v>
      </c>
      <c r="O54" s="16" t="str">
        <f aca="false">IF(AND(AND(A54&lt;&gt;"",ISNUMBER(B54),B54&lt;=Fatture!$C$4),C54&lt;&gt;""),IF(COUNTIF($C$9:C54,C54)=1,MAX($O$8:O53)+1,""),"")</f>
        <v/>
      </c>
    </row>
    <row r="55" customFormat="false" ht="15" hidden="false" customHeight="false" outlineLevel="0" collapsed="false">
      <c r="A55" s="25" t="s">
        <v>115</v>
      </c>
      <c r="B55" s="26" t="n">
        <v>46185</v>
      </c>
      <c r="C55" s="25" t="s">
        <v>74</v>
      </c>
      <c r="D55" s="27" t="n">
        <v>3660</v>
      </c>
      <c r="E55" s="28"/>
      <c r="F55" s="29" t="n">
        <f aca="false">IF(ISNUMBER(B55),B55+IF(ISNUMBER(E55),E55,$C$5),"")</f>
        <v>46215</v>
      </c>
      <c r="G55" s="14" t="n">
        <f aca="false">IF(AND(A55&lt;&gt;"",ISNUMBER(B55),B55&lt;=Fatture!$C$4),SUMIFS(Incassi!$C$5:$C$124,Incassi!$D$5:$D$124,A55,Incassi!$A$5:$A$124,"&lt;="&amp;Fatture!$C$4),"")</f>
        <v>3660</v>
      </c>
      <c r="H55" s="14" t="n">
        <f aca="false">IF(AND(A55&lt;&gt;"",ISNUMBER(B55),B55&lt;=Fatture!$C$4),D55-G55,"")</f>
        <v>0</v>
      </c>
      <c r="I55" s="30" t="str">
        <f aca="false">IF(A55="","",IF(NOT(AND(A55&lt;&gt;"",ISNUMBER(B55),B55&lt;=Fatture!$C$4)),"Dopo la data",IF(H55&lt;0,"Incassata più del dovuto",IF(H55=0,"Incassata",IF(F55&gt;=Fatture!$C$4,"Da incassare",IF(G55&gt;0,"Scaduta, in parte","Scaduta"))))))</f>
        <v>Incassata</v>
      </c>
      <c r="J55" s="16" t="str">
        <f aca="false">IF(AND(ISNUMBER(H55),H55&gt;0),MAX(0,Fatture!$C$4-F55),"")</f>
        <v/>
      </c>
      <c r="K55" s="30" t="str">
        <f aca="false">IF(J55="","",IF(J55=0,"Non scaduto",IF(J55&lt;=30,"1-30 giorni",IF(J55&lt;=60,"31-60 giorni",IF(J55&lt;=90,"61-90 giorni","Oltre 90 giorni")))))</f>
        <v/>
      </c>
      <c r="L55" s="29" t="n">
        <f aca="false">IF(I55="Incassata",SUMPRODUCT(MAX((Incassi!$D$5:$D$124=A55)*(Incassi!$A$5:$A$124&lt;=Fatture!$C$4)*Incassi!$A$5:$A$124)),"")</f>
        <v>46215</v>
      </c>
      <c r="M55" s="16" t="n">
        <f aca="false">IF(ISNUMBER(L55),L55-B55,"")</f>
        <v>30</v>
      </c>
      <c r="N55" s="14" t="n">
        <f aca="false">IF(ISNUMBER(M55),M55*D55,"")</f>
        <v>109800</v>
      </c>
      <c r="O55" s="16" t="str">
        <f aca="false">IF(AND(AND(A55&lt;&gt;"",ISNUMBER(B55),B55&lt;=Fatture!$C$4),C55&lt;&gt;""),IF(COUNTIF($C$9:C55,C55)=1,MAX($O$8:O54)+1,""),"")</f>
        <v/>
      </c>
    </row>
    <row r="56" customFormat="false" ht="15" hidden="false" customHeight="false" outlineLevel="0" collapsed="false">
      <c r="A56" s="25" t="s">
        <v>116</v>
      </c>
      <c r="B56" s="26" t="n">
        <v>46201</v>
      </c>
      <c r="C56" s="25" t="s">
        <v>76</v>
      </c>
      <c r="D56" s="27" t="n">
        <v>7320</v>
      </c>
      <c r="E56" s="28" t="n">
        <v>90</v>
      </c>
      <c r="F56" s="29" t="n">
        <f aca="false">IF(ISNUMBER(B56),B56+IF(ISNUMBER(E56),E56,$C$5),"")</f>
        <v>46291</v>
      </c>
      <c r="G56" s="14" t="n">
        <f aca="false">IF(AND(A56&lt;&gt;"",ISNUMBER(B56),B56&lt;=Fatture!$C$4),SUMIFS(Incassi!$C$5:$C$124,Incassi!$D$5:$D$124,A56,Incassi!$A$5:$A$124,"&lt;="&amp;Fatture!$C$4),"")</f>
        <v>7320</v>
      </c>
      <c r="H56" s="14" t="n">
        <f aca="false">IF(AND(A56&lt;&gt;"",ISNUMBER(B56),B56&lt;=Fatture!$C$4),D56-G56,"")</f>
        <v>0</v>
      </c>
      <c r="I56" s="30" t="str">
        <f aca="false">IF(A56="","",IF(NOT(AND(A56&lt;&gt;"",ISNUMBER(B56),B56&lt;=Fatture!$C$4)),"Dopo la data",IF(H56&lt;0,"Incassata più del dovuto",IF(H56=0,"Incassata",IF(F56&gt;=Fatture!$C$4,"Da incassare",IF(G56&gt;0,"Scaduta, in parte","Scaduta"))))))</f>
        <v>Incassata</v>
      </c>
      <c r="J56" s="16" t="str">
        <f aca="false">IF(AND(ISNUMBER(H56),H56&gt;0),MAX(0,Fatture!$C$4-F56),"")</f>
        <v/>
      </c>
      <c r="K56" s="30" t="str">
        <f aca="false">IF(J56="","",IF(J56=0,"Non scaduto",IF(J56&lt;=30,"1-30 giorni",IF(J56&lt;=60,"31-60 giorni",IF(J56&lt;=90,"61-90 giorni","Oltre 90 giorni")))))</f>
        <v/>
      </c>
      <c r="L56" s="29" t="n">
        <f aca="false">IF(I56="Incassata",SUMPRODUCT(MAX((Incassi!$D$5:$D$124=A56)*(Incassi!$A$5:$A$124&lt;=Fatture!$C$4)*Incassi!$A$5:$A$124)),"")</f>
        <v>46291</v>
      </c>
      <c r="M56" s="16" t="n">
        <f aca="false">IF(ISNUMBER(L56),L56-B56,"")</f>
        <v>90</v>
      </c>
      <c r="N56" s="14" t="n">
        <f aca="false">IF(ISNUMBER(M56),M56*D56,"")</f>
        <v>658800</v>
      </c>
      <c r="O56" s="16" t="str">
        <f aca="false">IF(AND(AND(A56&lt;&gt;"",ISNUMBER(B56),B56&lt;=Fatture!$C$4),C56&lt;&gt;""),IF(COUNTIF($C$9:C56,C56)=1,MAX($O$8:O55)+1,""),"")</f>
        <v/>
      </c>
    </row>
    <row r="57" customFormat="false" ht="15" hidden="false" customHeight="false" outlineLevel="0" collapsed="false">
      <c r="A57" s="25" t="s">
        <v>117</v>
      </c>
      <c r="B57" s="26" t="n">
        <v>46208</v>
      </c>
      <c r="C57" s="25" t="s">
        <v>62</v>
      </c>
      <c r="D57" s="27" t="n">
        <v>12200</v>
      </c>
      <c r="E57" s="28"/>
      <c r="F57" s="29" t="n">
        <f aca="false">IF(ISNUMBER(B57),B57+IF(ISNUMBER(E57),E57,$C$5),"")</f>
        <v>46238</v>
      </c>
      <c r="G57" s="14" t="n">
        <f aca="false">IF(AND(A57&lt;&gt;"",ISNUMBER(B57),B57&lt;=Fatture!$C$4),SUMIFS(Incassi!$C$5:$C$124,Incassi!$D$5:$D$124,A57,Incassi!$A$5:$A$124,"&lt;="&amp;Fatture!$C$4),"")</f>
        <v>12200</v>
      </c>
      <c r="H57" s="14" t="n">
        <f aca="false">IF(AND(A57&lt;&gt;"",ISNUMBER(B57),B57&lt;=Fatture!$C$4),D57-G57,"")</f>
        <v>0</v>
      </c>
      <c r="I57" s="30" t="str">
        <f aca="false">IF(A57="","",IF(NOT(AND(A57&lt;&gt;"",ISNUMBER(B57),B57&lt;=Fatture!$C$4)),"Dopo la data",IF(H57&lt;0,"Incassata più del dovuto",IF(H57=0,"Incassata",IF(F57&gt;=Fatture!$C$4,"Da incassare",IF(G57&gt;0,"Scaduta, in parte","Scaduta"))))))</f>
        <v>Incassata</v>
      </c>
      <c r="J57" s="16" t="str">
        <f aca="false">IF(AND(ISNUMBER(H57),H57&gt;0),MAX(0,Fatture!$C$4-F57),"")</f>
        <v/>
      </c>
      <c r="K57" s="30" t="str">
        <f aca="false">IF(J57="","",IF(J57=0,"Non scaduto",IF(J57&lt;=30,"1-30 giorni",IF(J57&lt;=60,"31-60 giorni",IF(J57&lt;=90,"61-90 giorni","Oltre 90 giorni")))))</f>
        <v/>
      </c>
      <c r="L57" s="29" t="n">
        <f aca="false">IF(I57="Incassata",SUMPRODUCT(MAX((Incassi!$D$5:$D$124=A57)*(Incassi!$A$5:$A$124&lt;=Fatture!$C$4)*Incassi!$A$5:$A$124)),"")</f>
        <v>46238</v>
      </c>
      <c r="M57" s="16" t="n">
        <f aca="false">IF(ISNUMBER(L57),L57-B57,"")</f>
        <v>30</v>
      </c>
      <c r="N57" s="14" t="n">
        <f aca="false">IF(ISNUMBER(M57),M57*D57,"")</f>
        <v>366000</v>
      </c>
      <c r="O57" s="16" t="str">
        <f aca="false">IF(AND(AND(A57&lt;&gt;"",ISNUMBER(B57),B57&lt;=Fatture!$C$4),C57&lt;&gt;""),IF(COUNTIF($C$9:C57,C57)=1,MAX($O$8:O56)+1,""),"")</f>
        <v/>
      </c>
    </row>
    <row r="58" customFormat="false" ht="15" hidden="false" customHeight="false" outlineLevel="0" collapsed="false">
      <c r="A58" s="25" t="s">
        <v>118</v>
      </c>
      <c r="B58" s="26" t="n">
        <v>46213</v>
      </c>
      <c r="C58" s="25" t="s">
        <v>64</v>
      </c>
      <c r="D58" s="27" t="n">
        <v>8540</v>
      </c>
      <c r="E58" s="28" t="n">
        <v>60</v>
      </c>
      <c r="F58" s="29" t="n">
        <f aca="false">IF(ISNUMBER(B58),B58+IF(ISNUMBER(E58),E58,$C$5),"")</f>
        <v>46273</v>
      </c>
      <c r="G58" s="14" t="n">
        <f aca="false">IF(AND(A58&lt;&gt;"",ISNUMBER(B58),B58&lt;=Fatture!$C$4),SUMIFS(Incassi!$C$5:$C$124,Incassi!$D$5:$D$124,A58,Incassi!$A$5:$A$124,"&lt;="&amp;Fatture!$C$4),"")</f>
        <v>8540</v>
      </c>
      <c r="H58" s="14" t="n">
        <f aca="false">IF(AND(A58&lt;&gt;"",ISNUMBER(B58),B58&lt;=Fatture!$C$4),D58-G58,"")</f>
        <v>0</v>
      </c>
      <c r="I58" s="30" t="str">
        <f aca="false">IF(A58="","",IF(NOT(AND(A58&lt;&gt;"",ISNUMBER(B58),B58&lt;=Fatture!$C$4)),"Dopo la data",IF(H58&lt;0,"Incassata più del dovuto",IF(H58=0,"Incassata",IF(F58&gt;=Fatture!$C$4,"Da incassare",IF(G58&gt;0,"Scaduta, in parte","Scaduta"))))))</f>
        <v>Incassata</v>
      </c>
      <c r="J58" s="16" t="str">
        <f aca="false">IF(AND(ISNUMBER(H58),H58&gt;0),MAX(0,Fatture!$C$4-F58),"")</f>
        <v/>
      </c>
      <c r="K58" s="30" t="str">
        <f aca="false">IF(J58="","",IF(J58=0,"Non scaduto",IF(J58&lt;=30,"1-30 giorni",IF(J58&lt;=60,"31-60 giorni",IF(J58&lt;=90,"61-90 giorni","Oltre 90 giorni")))))</f>
        <v/>
      </c>
      <c r="L58" s="29" t="n">
        <f aca="false">IF(I58="Incassata",SUMPRODUCT(MAX((Incassi!$D$5:$D$124=A58)*(Incassi!$A$5:$A$124&lt;=Fatture!$C$4)*Incassi!$A$5:$A$124)),"")</f>
        <v>46273</v>
      </c>
      <c r="M58" s="16" t="n">
        <f aca="false">IF(ISNUMBER(L58),L58-B58,"")</f>
        <v>60</v>
      </c>
      <c r="N58" s="14" t="n">
        <f aca="false">IF(ISNUMBER(M58),M58*D58,"")</f>
        <v>512400</v>
      </c>
      <c r="O58" s="16" t="str">
        <f aca="false">IF(AND(AND(A58&lt;&gt;"",ISNUMBER(B58),B58&lt;=Fatture!$C$4),C58&lt;&gt;""),IF(COUNTIF($C$9:C58,C58)=1,MAX($O$8:O57)+1,""),"")</f>
        <v/>
      </c>
    </row>
    <row r="59" customFormat="false" ht="15" hidden="false" customHeight="false" outlineLevel="0" collapsed="false">
      <c r="A59" s="25" t="s">
        <v>119</v>
      </c>
      <c r="B59" s="26" t="n">
        <v>46218</v>
      </c>
      <c r="C59" s="25" t="s">
        <v>66</v>
      </c>
      <c r="D59" s="27" t="n">
        <v>15860</v>
      </c>
      <c r="E59" s="28"/>
      <c r="F59" s="29" t="n">
        <f aca="false">IF(ISNUMBER(B59),B59+IF(ISNUMBER(E59),E59,$C$5),"")</f>
        <v>46248</v>
      </c>
      <c r="G59" s="14" t="n">
        <f aca="false">IF(AND(A59&lt;&gt;"",ISNUMBER(B59),B59&lt;=Fatture!$C$4),SUMIFS(Incassi!$C$5:$C$124,Incassi!$D$5:$D$124,A59,Incassi!$A$5:$A$124,"&lt;="&amp;Fatture!$C$4),"")</f>
        <v>15860</v>
      </c>
      <c r="H59" s="14" t="n">
        <f aca="false">IF(AND(A59&lt;&gt;"",ISNUMBER(B59),B59&lt;=Fatture!$C$4),D59-G59,"")</f>
        <v>0</v>
      </c>
      <c r="I59" s="30" t="str">
        <f aca="false">IF(A59="","",IF(NOT(AND(A59&lt;&gt;"",ISNUMBER(B59),B59&lt;=Fatture!$C$4)),"Dopo la data",IF(H59&lt;0,"Incassata più del dovuto",IF(H59=0,"Incassata",IF(F59&gt;=Fatture!$C$4,"Da incassare",IF(G59&gt;0,"Scaduta, in parte","Scaduta"))))))</f>
        <v>Incassata</v>
      </c>
      <c r="J59" s="16" t="str">
        <f aca="false">IF(AND(ISNUMBER(H59),H59&gt;0),MAX(0,Fatture!$C$4-F59),"")</f>
        <v/>
      </c>
      <c r="K59" s="30" t="str">
        <f aca="false">IF(J59="","",IF(J59=0,"Non scaduto",IF(J59&lt;=30,"1-30 giorni",IF(J59&lt;=60,"31-60 giorni",IF(J59&lt;=90,"61-90 giorni","Oltre 90 giorni")))))</f>
        <v/>
      </c>
      <c r="L59" s="29" t="n">
        <f aca="false">IF(I59="Incassata",SUMPRODUCT(MAX((Incassi!$D$5:$D$124=A59)*(Incassi!$A$5:$A$124&lt;=Fatture!$C$4)*Incassi!$A$5:$A$124)),"")</f>
        <v>46293</v>
      </c>
      <c r="M59" s="16" t="n">
        <f aca="false">IF(ISNUMBER(L59),L59-B59,"")</f>
        <v>75</v>
      </c>
      <c r="N59" s="14" t="n">
        <f aca="false">IF(ISNUMBER(M59),M59*D59,"")</f>
        <v>1189500</v>
      </c>
      <c r="O59" s="16" t="str">
        <f aca="false">IF(AND(AND(A59&lt;&gt;"",ISNUMBER(B59),B59&lt;=Fatture!$C$4),C59&lt;&gt;""),IF(COUNTIF($C$9:C59,C59)=1,MAX($O$8:O58)+1,""),"")</f>
        <v/>
      </c>
    </row>
    <row r="60" customFormat="false" ht="15" hidden="false" customHeight="false" outlineLevel="0" collapsed="false">
      <c r="A60" s="25" t="s">
        <v>120</v>
      </c>
      <c r="B60" s="26" t="n">
        <v>46223</v>
      </c>
      <c r="C60" s="25" t="s">
        <v>68</v>
      </c>
      <c r="D60" s="27" t="n">
        <v>4880</v>
      </c>
      <c r="E60" s="28"/>
      <c r="F60" s="29" t="n">
        <f aca="false">IF(ISNUMBER(B60),B60+IF(ISNUMBER(E60),E60,$C$5),"")</f>
        <v>46253</v>
      </c>
      <c r="G60" s="14" t="n">
        <f aca="false">IF(AND(A60&lt;&gt;"",ISNUMBER(B60),B60&lt;=Fatture!$C$4),SUMIFS(Incassi!$C$5:$C$124,Incassi!$D$5:$D$124,A60,Incassi!$A$5:$A$124,"&lt;="&amp;Fatture!$C$4),"")</f>
        <v>4880</v>
      </c>
      <c r="H60" s="14" t="n">
        <f aca="false">IF(AND(A60&lt;&gt;"",ISNUMBER(B60),B60&lt;=Fatture!$C$4),D60-G60,"")</f>
        <v>0</v>
      </c>
      <c r="I60" s="30" t="str">
        <f aca="false">IF(A60="","",IF(NOT(AND(A60&lt;&gt;"",ISNUMBER(B60),B60&lt;=Fatture!$C$4)),"Dopo la data",IF(H60&lt;0,"Incassata più del dovuto",IF(H60=0,"Incassata",IF(F60&gt;=Fatture!$C$4,"Da incassare",IF(G60&gt;0,"Scaduta, in parte","Scaduta"))))))</f>
        <v>Incassata</v>
      </c>
      <c r="J60" s="16" t="str">
        <f aca="false">IF(AND(ISNUMBER(H60),H60&gt;0),MAX(0,Fatture!$C$4-F60),"")</f>
        <v/>
      </c>
      <c r="K60" s="30" t="str">
        <f aca="false">IF(J60="","",IF(J60=0,"Non scaduto",IF(J60&lt;=30,"1-30 giorni",IF(J60&lt;=60,"31-60 giorni",IF(J60&lt;=90,"61-90 giorni","Oltre 90 giorni")))))</f>
        <v/>
      </c>
      <c r="L60" s="29" t="n">
        <f aca="false">IF(I60="Incassata",SUMPRODUCT(MAX((Incassi!$D$5:$D$124=A60)*(Incassi!$A$5:$A$124&lt;=Fatture!$C$4)*Incassi!$A$5:$A$124)),"")</f>
        <v>46283</v>
      </c>
      <c r="M60" s="16" t="n">
        <f aca="false">IF(ISNUMBER(L60),L60-B60,"")</f>
        <v>60</v>
      </c>
      <c r="N60" s="14" t="n">
        <f aca="false">IF(ISNUMBER(M60),M60*D60,"")</f>
        <v>292800</v>
      </c>
      <c r="O60" s="16" t="str">
        <f aca="false">IF(AND(AND(A60&lt;&gt;"",ISNUMBER(B60),B60&lt;=Fatture!$C$4),C60&lt;&gt;""),IF(COUNTIF($C$9:C60,C60)=1,MAX($O$8:O59)+1,""),"")</f>
        <v/>
      </c>
    </row>
    <row r="61" customFormat="false" ht="15" hidden="false" customHeight="false" outlineLevel="0" collapsed="false">
      <c r="A61" s="25" t="s">
        <v>121</v>
      </c>
      <c r="B61" s="26" t="n">
        <v>46228</v>
      </c>
      <c r="C61" s="25" t="s">
        <v>72</v>
      </c>
      <c r="D61" s="27" t="n">
        <v>6100</v>
      </c>
      <c r="E61" s="28"/>
      <c r="F61" s="29" t="n">
        <f aca="false">IF(ISNUMBER(B61),B61+IF(ISNUMBER(E61),E61,$C$5),"")</f>
        <v>46258</v>
      </c>
      <c r="G61" s="14" t="n">
        <f aca="false">IF(AND(A61&lt;&gt;"",ISNUMBER(B61),B61&lt;=Fatture!$C$4),SUMIFS(Incassi!$C$5:$C$124,Incassi!$D$5:$D$124,A61,Incassi!$A$5:$A$124,"&lt;="&amp;Fatture!$C$4),"")</f>
        <v>6100</v>
      </c>
      <c r="H61" s="14" t="n">
        <f aca="false">IF(AND(A61&lt;&gt;"",ISNUMBER(B61),B61&lt;=Fatture!$C$4),D61-G61,"")</f>
        <v>0</v>
      </c>
      <c r="I61" s="30" t="str">
        <f aca="false">IF(A61="","",IF(NOT(AND(A61&lt;&gt;"",ISNUMBER(B61),B61&lt;=Fatture!$C$4)),"Dopo la data",IF(H61&lt;0,"Incassata più del dovuto",IF(H61=0,"Incassata",IF(F61&gt;=Fatture!$C$4,"Da incassare",IF(G61&gt;0,"Scaduta, in parte","Scaduta"))))))</f>
        <v>Incassata</v>
      </c>
      <c r="J61" s="16" t="str">
        <f aca="false">IF(AND(ISNUMBER(H61),H61&gt;0),MAX(0,Fatture!$C$4-F61),"")</f>
        <v/>
      </c>
      <c r="K61" s="30" t="str">
        <f aca="false">IF(J61="","",IF(J61=0,"Non scaduto",IF(J61&lt;=30,"1-30 giorni",IF(J61&lt;=60,"31-60 giorni",IF(J61&lt;=90,"61-90 giorni","Oltre 90 giorni")))))</f>
        <v/>
      </c>
      <c r="L61" s="29" t="n">
        <f aca="false">IF(I61="Incassata",SUMPRODUCT(MAX((Incassi!$D$5:$D$124=A61)*(Incassi!$A$5:$A$124&lt;=Fatture!$C$4)*Incassi!$A$5:$A$124)),"")</f>
        <v>46268</v>
      </c>
      <c r="M61" s="16" t="n">
        <f aca="false">IF(ISNUMBER(L61),L61-B61,"")</f>
        <v>40</v>
      </c>
      <c r="N61" s="14" t="n">
        <f aca="false">IF(ISNUMBER(M61),M61*D61,"")</f>
        <v>244000</v>
      </c>
      <c r="O61" s="16" t="str">
        <f aca="false">IF(AND(AND(A61&lt;&gt;"",ISNUMBER(B61),B61&lt;=Fatture!$C$4),C61&lt;&gt;""),IF(COUNTIF($C$9:C61,C61)=1,MAX($O$8:O60)+1,""),"")</f>
        <v/>
      </c>
    </row>
    <row r="62" customFormat="false" ht="15" hidden="false" customHeight="false" outlineLevel="0" collapsed="false">
      <c r="A62" s="25" t="s">
        <v>122</v>
      </c>
      <c r="B62" s="26" t="n">
        <v>46215</v>
      </c>
      <c r="C62" s="25" t="s">
        <v>74</v>
      </c>
      <c r="D62" s="27" t="n">
        <v>3660</v>
      </c>
      <c r="E62" s="28"/>
      <c r="F62" s="29" t="n">
        <f aca="false">IF(ISNUMBER(B62),B62+IF(ISNUMBER(E62),E62,$C$5),"")</f>
        <v>46245</v>
      </c>
      <c r="G62" s="14" t="n">
        <f aca="false">IF(AND(A62&lt;&gt;"",ISNUMBER(B62),B62&lt;=Fatture!$C$4),SUMIFS(Incassi!$C$5:$C$124,Incassi!$D$5:$D$124,A62,Incassi!$A$5:$A$124,"&lt;="&amp;Fatture!$C$4),"")</f>
        <v>3660</v>
      </c>
      <c r="H62" s="14" t="n">
        <f aca="false">IF(AND(A62&lt;&gt;"",ISNUMBER(B62),B62&lt;=Fatture!$C$4),D62-G62,"")</f>
        <v>0</v>
      </c>
      <c r="I62" s="30" t="str">
        <f aca="false">IF(A62="","",IF(NOT(AND(A62&lt;&gt;"",ISNUMBER(B62),B62&lt;=Fatture!$C$4)),"Dopo la data",IF(H62&lt;0,"Incassata più del dovuto",IF(H62=0,"Incassata",IF(F62&gt;=Fatture!$C$4,"Da incassare",IF(G62&gt;0,"Scaduta, in parte","Scaduta"))))))</f>
        <v>Incassata</v>
      </c>
      <c r="J62" s="16" t="str">
        <f aca="false">IF(AND(ISNUMBER(H62),H62&gt;0),MAX(0,Fatture!$C$4-F62),"")</f>
        <v/>
      </c>
      <c r="K62" s="30" t="str">
        <f aca="false">IF(J62="","",IF(J62=0,"Non scaduto",IF(J62&lt;=30,"1-30 giorni",IF(J62&lt;=60,"31-60 giorni",IF(J62&lt;=90,"61-90 giorni","Oltre 90 giorni")))))</f>
        <v/>
      </c>
      <c r="L62" s="29" t="n">
        <f aca="false">IF(I62="Incassata",SUMPRODUCT(MAX((Incassi!$D$5:$D$124=A62)*(Incassi!$A$5:$A$124&lt;=Fatture!$C$4)*Incassi!$A$5:$A$124)),"")</f>
        <v>46245</v>
      </c>
      <c r="M62" s="16" t="n">
        <f aca="false">IF(ISNUMBER(L62),L62-B62,"")</f>
        <v>30</v>
      </c>
      <c r="N62" s="14" t="n">
        <f aca="false">IF(ISNUMBER(M62),M62*D62,"")</f>
        <v>109800</v>
      </c>
      <c r="O62" s="16" t="str">
        <f aca="false">IF(AND(AND(A62&lt;&gt;"",ISNUMBER(B62),B62&lt;=Fatture!$C$4),C62&lt;&gt;""),IF(COUNTIF($C$9:C62,C62)=1,MAX($O$8:O61)+1,""),"")</f>
        <v/>
      </c>
    </row>
    <row r="63" customFormat="false" ht="15" hidden="false" customHeight="false" outlineLevel="0" collapsed="false">
      <c r="A63" s="25" t="s">
        <v>123</v>
      </c>
      <c r="B63" s="26" t="n">
        <v>46231</v>
      </c>
      <c r="C63" s="25" t="s">
        <v>76</v>
      </c>
      <c r="D63" s="27" t="n">
        <v>7320</v>
      </c>
      <c r="E63" s="28" t="n">
        <v>90</v>
      </c>
      <c r="F63" s="29" t="n">
        <f aca="false">IF(ISNUMBER(B63),B63+IF(ISNUMBER(E63),E63,$C$5),"")</f>
        <v>46321</v>
      </c>
      <c r="G63" s="14" t="n">
        <f aca="false">IF(AND(A63&lt;&gt;"",ISNUMBER(B63),B63&lt;=Fatture!$C$4),SUMIFS(Incassi!$C$5:$C$124,Incassi!$D$5:$D$124,A63,Incassi!$A$5:$A$124,"&lt;="&amp;Fatture!$C$4),"")</f>
        <v>0</v>
      </c>
      <c r="H63" s="14" t="n">
        <f aca="false">IF(AND(A63&lt;&gt;"",ISNUMBER(B63),B63&lt;=Fatture!$C$4),D63-G63,"")</f>
        <v>7320</v>
      </c>
      <c r="I63" s="30" t="str">
        <f aca="false">IF(A63="","",IF(NOT(AND(A63&lt;&gt;"",ISNUMBER(B63),B63&lt;=Fatture!$C$4)),"Dopo la data",IF(H63&lt;0,"Incassata più del dovuto",IF(H63=0,"Incassata",IF(F63&gt;=Fatture!$C$4,"Da incassare",IF(G63&gt;0,"Scaduta, in parte","Scaduta"))))))</f>
        <v>Da incassare</v>
      </c>
      <c r="J63" s="16" t="n">
        <f aca="false">IF(AND(ISNUMBER(H63),H63&gt;0),MAX(0,Fatture!$C$4-F63),"")</f>
        <v>0</v>
      </c>
      <c r="K63" s="30" t="str">
        <f aca="false">IF(J63="","",IF(J63=0,"Non scaduto",IF(J63&lt;=30,"1-30 giorni",IF(J63&lt;=60,"31-60 giorni",IF(J63&lt;=90,"61-90 giorni","Oltre 90 giorni")))))</f>
        <v>Non scaduto</v>
      </c>
      <c r="L63" s="29" t="str">
        <f aca="false">IF(I63="Incassata",SUMPRODUCT(MAX((Incassi!$D$5:$D$124=A63)*(Incassi!$A$5:$A$124&lt;=Fatture!$C$4)*Incassi!$A$5:$A$124)),"")</f>
        <v/>
      </c>
      <c r="M63" s="16" t="str">
        <f aca="false">IF(ISNUMBER(L63),L63-B63,"")</f>
        <v/>
      </c>
      <c r="N63" s="14" t="str">
        <f aca="false">IF(ISNUMBER(M63),M63*D63,"")</f>
        <v/>
      </c>
      <c r="O63" s="16" t="str">
        <f aca="false">IF(AND(AND(A63&lt;&gt;"",ISNUMBER(B63),B63&lt;=Fatture!$C$4),C63&lt;&gt;""),IF(COUNTIF($C$9:C63,C63)=1,MAX($O$8:O62)+1,""),"")</f>
        <v/>
      </c>
    </row>
    <row r="64" customFormat="false" ht="15" hidden="false" customHeight="false" outlineLevel="0" collapsed="false">
      <c r="A64" s="25" t="s">
        <v>124</v>
      </c>
      <c r="B64" s="26" t="n">
        <v>46239</v>
      </c>
      <c r="C64" s="25" t="s">
        <v>62</v>
      </c>
      <c r="D64" s="27" t="n">
        <v>12200</v>
      </c>
      <c r="E64" s="28"/>
      <c r="F64" s="29" t="n">
        <f aca="false">IF(ISNUMBER(B64),B64+IF(ISNUMBER(E64),E64,$C$5),"")</f>
        <v>46269</v>
      </c>
      <c r="G64" s="14" t="n">
        <f aca="false">IF(AND(A64&lt;&gt;"",ISNUMBER(B64),B64&lt;=Fatture!$C$4),SUMIFS(Incassi!$C$5:$C$124,Incassi!$D$5:$D$124,A64,Incassi!$A$5:$A$124,"&lt;="&amp;Fatture!$C$4),"")</f>
        <v>12200</v>
      </c>
      <c r="H64" s="14" t="n">
        <f aca="false">IF(AND(A64&lt;&gt;"",ISNUMBER(B64),B64&lt;=Fatture!$C$4),D64-G64,"")</f>
        <v>0</v>
      </c>
      <c r="I64" s="30" t="str">
        <f aca="false">IF(A64="","",IF(NOT(AND(A64&lt;&gt;"",ISNUMBER(B64),B64&lt;=Fatture!$C$4)),"Dopo la data",IF(H64&lt;0,"Incassata più del dovuto",IF(H64=0,"Incassata",IF(F64&gt;=Fatture!$C$4,"Da incassare",IF(G64&gt;0,"Scaduta, in parte","Scaduta"))))))</f>
        <v>Incassata</v>
      </c>
      <c r="J64" s="16" t="str">
        <f aca="false">IF(AND(ISNUMBER(H64),H64&gt;0),MAX(0,Fatture!$C$4-F64),"")</f>
        <v/>
      </c>
      <c r="K64" s="30" t="str">
        <f aca="false">IF(J64="","",IF(J64=0,"Non scaduto",IF(J64&lt;=30,"1-30 giorni",IF(J64&lt;=60,"31-60 giorni",IF(J64&lt;=90,"61-90 giorni","Oltre 90 giorni")))))</f>
        <v/>
      </c>
      <c r="L64" s="29" t="n">
        <f aca="false">IF(I64="Incassata",SUMPRODUCT(MAX((Incassi!$D$5:$D$124=A64)*(Incassi!$A$5:$A$124&lt;=Fatture!$C$4)*Incassi!$A$5:$A$124)),"")</f>
        <v>46269</v>
      </c>
      <c r="M64" s="16" t="n">
        <f aca="false">IF(ISNUMBER(L64),L64-B64,"")</f>
        <v>30</v>
      </c>
      <c r="N64" s="14" t="n">
        <f aca="false">IF(ISNUMBER(M64),M64*D64,"")</f>
        <v>366000</v>
      </c>
      <c r="O64" s="16" t="str">
        <f aca="false">IF(AND(AND(A64&lt;&gt;"",ISNUMBER(B64),B64&lt;=Fatture!$C$4),C64&lt;&gt;""),IF(COUNTIF($C$9:C64,C64)=1,MAX($O$8:O63)+1,""),"")</f>
        <v/>
      </c>
    </row>
    <row r="65" customFormat="false" ht="15" hidden="false" customHeight="false" outlineLevel="0" collapsed="false">
      <c r="A65" s="25" t="s">
        <v>125</v>
      </c>
      <c r="B65" s="26" t="n">
        <v>46244</v>
      </c>
      <c r="C65" s="25" t="s">
        <v>64</v>
      </c>
      <c r="D65" s="27" t="n">
        <v>8540</v>
      </c>
      <c r="E65" s="28" t="n">
        <v>60</v>
      </c>
      <c r="F65" s="29" t="n">
        <f aca="false">IF(ISNUMBER(B65),B65+IF(ISNUMBER(E65),E65,$C$5),"")</f>
        <v>46304</v>
      </c>
      <c r="G65" s="14" t="n">
        <f aca="false">IF(AND(A65&lt;&gt;"",ISNUMBER(B65),B65&lt;=Fatture!$C$4),SUMIFS(Incassi!$C$5:$C$124,Incassi!$D$5:$D$124,A65,Incassi!$A$5:$A$124,"&lt;="&amp;Fatture!$C$4),"")</f>
        <v>0</v>
      </c>
      <c r="H65" s="14" t="n">
        <f aca="false">IF(AND(A65&lt;&gt;"",ISNUMBER(B65),B65&lt;=Fatture!$C$4),D65-G65,"")</f>
        <v>8540</v>
      </c>
      <c r="I65" s="30" t="str">
        <f aca="false">IF(A65="","",IF(NOT(AND(A65&lt;&gt;"",ISNUMBER(B65),B65&lt;=Fatture!$C$4)),"Dopo la data",IF(H65&lt;0,"Incassata più del dovuto",IF(H65=0,"Incassata",IF(F65&gt;=Fatture!$C$4,"Da incassare",IF(G65&gt;0,"Scaduta, in parte","Scaduta"))))))</f>
        <v>Da incassare</v>
      </c>
      <c r="J65" s="16" t="n">
        <f aca="false">IF(AND(ISNUMBER(H65),H65&gt;0),MAX(0,Fatture!$C$4-F65),"")</f>
        <v>0</v>
      </c>
      <c r="K65" s="30" t="str">
        <f aca="false">IF(J65="","",IF(J65=0,"Non scaduto",IF(J65&lt;=30,"1-30 giorni",IF(J65&lt;=60,"31-60 giorni",IF(J65&lt;=90,"61-90 giorni","Oltre 90 giorni")))))</f>
        <v>Non scaduto</v>
      </c>
      <c r="L65" s="29" t="str">
        <f aca="false">IF(I65="Incassata",SUMPRODUCT(MAX((Incassi!$D$5:$D$124=A65)*(Incassi!$A$5:$A$124&lt;=Fatture!$C$4)*Incassi!$A$5:$A$124)),"")</f>
        <v/>
      </c>
      <c r="M65" s="16" t="str">
        <f aca="false">IF(ISNUMBER(L65),L65-B65,"")</f>
        <v/>
      </c>
      <c r="N65" s="14" t="str">
        <f aca="false">IF(ISNUMBER(M65),M65*D65,"")</f>
        <v/>
      </c>
      <c r="O65" s="16" t="str">
        <f aca="false">IF(AND(AND(A65&lt;&gt;"",ISNUMBER(B65),B65&lt;=Fatture!$C$4),C65&lt;&gt;""),IF(COUNTIF($C$9:C65,C65)=1,MAX($O$8:O64)+1,""),"")</f>
        <v/>
      </c>
    </row>
    <row r="66" customFormat="false" ht="15" hidden="false" customHeight="false" outlineLevel="0" collapsed="false">
      <c r="A66" s="25" t="s">
        <v>126</v>
      </c>
      <c r="B66" s="26" t="n">
        <v>46249</v>
      </c>
      <c r="C66" s="25" t="s">
        <v>66</v>
      </c>
      <c r="D66" s="27" t="n">
        <v>15860</v>
      </c>
      <c r="E66" s="28"/>
      <c r="F66" s="29" t="n">
        <f aca="false">IF(ISNUMBER(B66),B66+IF(ISNUMBER(E66),E66,$C$5),"")</f>
        <v>46279</v>
      </c>
      <c r="G66" s="14" t="n">
        <f aca="false">IF(AND(A66&lt;&gt;"",ISNUMBER(B66),B66&lt;=Fatture!$C$4),SUMIFS(Incassi!$C$5:$C$124,Incassi!$D$5:$D$124,A66,Incassi!$A$5:$A$124,"&lt;="&amp;Fatture!$C$4),"")</f>
        <v>0</v>
      </c>
      <c r="H66" s="14" t="n">
        <f aca="false">IF(AND(A66&lt;&gt;"",ISNUMBER(B66),B66&lt;=Fatture!$C$4),D66-G66,"")</f>
        <v>15860</v>
      </c>
      <c r="I66" s="30" t="str">
        <f aca="false">IF(A66="","",IF(NOT(AND(A66&lt;&gt;"",ISNUMBER(B66),B66&lt;=Fatture!$C$4)),"Dopo la data",IF(H66&lt;0,"Incassata più del dovuto",IF(H66=0,"Incassata",IF(F66&gt;=Fatture!$C$4,"Da incassare",IF(G66&gt;0,"Scaduta, in parte","Scaduta"))))))</f>
        <v>Scaduta</v>
      </c>
      <c r="J66" s="16" t="n">
        <f aca="false">IF(AND(ISNUMBER(H66),H66&gt;0),MAX(0,Fatture!$C$4-F66),"")</f>
        <v>16</v>
      </c>
      <c r="K66" s="30" t="str">
        <f aca="false">IF(J66="","",IF(J66=0,"Non scaduto",IF(J66&lt;=30,"1-30 giorni",IF(J66&lt;=60,"31-60 giorni",IF(J66&lt;=90,"61-90 giorni","Oltre 90 giorni")))))</f>
        <v>1-30 giorni</v>
      </c>
      <c r="L66" s="29" t="str">
        <f aca="false">IF(I66="Incassata",SUMPRODUCT(MAX((Incassi!$D$5:$D$124=A66)*(Incassi!$A$5:$A$124&lt;=Fatture!$C$4)*Incassi!$A$5:$A$124)),"")</f>
        <v/>
      </c>
      <c r="M66" s="16" t="str">
        <f aca="false">IF(ISNUMBER(L66),L66-B66,"")</f>
        <v/>
      </c>
      <c r="N66" s="14" t="str">
        <f aca="false">IF(ISNUMBER(M66),M66*D66,"")</f>
        <v/>
      </c>
      <c r="O66" s="16" t="str">
        <f aca="false">IF(AND(AND(A66&lt;&gt;"",ISNUMBER(B66),B66&lt;=Fatture!$C$4),C66&lt;&gt;""),IF(COUNTIF($C$9:C66,C66)=1,MAX($O$8:O65)+1,""),"")</f>
        <v/>
      </c>
    </row>
    <row r="67" customFormat="false" ht="15" hidden="false" customHeight="false" outlineLevel="0" collapsed="false">
      <c r="A67" s="25" t="s">
        <v>127</v>
      </c>
      <c r="B67" s="26" t="n">
        <v>46254</v>
      </c>
      <c r="C67" s="25" t="s">
        <v>68</v>
      </c>
      <c r="D67" s="27" t="n">
        <v>4880</v>
      </c>
      <c r="E67" s="28"/>
      <c r="F67" s="29" t="n">
        <f aca="false">IF(ISNUMBER(B67),B67+IF(ISNUMBER(E67),E67,$C$5),"")</f>
        <v>46284</v>
      </c>
      <c r="G67" s="14" t="n">
        <f aca="false">IF(AND(A67&lt;&gt;"",ISNUMBER(B67),B67&lt;=Fatture!$C$4),SUMIFS(Incassi!$C$5:$C$124,Incassi!$D$5:$D$124,A67,Incassi!$A$5:$A$124,"&lt;="&amp;Fatture!$C$4),"")</f>
        <v>2440</v>
      </c>
      <c r="H67" s="14" t="n">
        <f aca="false">IF(AND(A67&lt;&gt;"",ISNUMBER(B67),B67&lt;=Fatture!$C$4),D67-G67,"")</f>
        <v>2440</v>
      </c>
      <c r="I67" s="30" t="str">
        <f aca="false">IF(A67="","",IF(NOT(AND(A67&lt;&gt;"",ISNUMBER(B67),B67&lt;=Fatture!$C$4)),"Dopo la data",IF(H67&lt;0,"Incassata più del dovuto",IF(H67=0,"Incassata",IF(F67&gt;=Fatture!$C$4,"Da incassare",IF(G67&gt;0,"Scaduta, in parte","Scaduta"))))))</f>
        <v>Scaduta, in parte</v>
      </c>
      <c r="J67" s="16" t="n">
        <f aca="false">IF(AND(ISNUMBER(H67),H67&gt;0),MAX(0,Fatture!$C$4-F67),"")</f>
        <v>11</v>
      </c>
      <c r="K67" s="30" t="str">
        <f aca="false">IF(J67="","",IF(J67=0,"Non scaduto",IF(J67&lt;=30,"1-30 giorni",IF(J67&lt;=60,"31-60 giorni",IF(J67&lt;=90,"61-90 giorni","Oltre 90 giorni")))))</f>
        <v>1-30 giorni</v>
      </c>
      <c r="L67" s="29" t="str">
        <f aca="false">IF(I67="Incassata",SUMPRODUCT(MAX((Incassi!$D$5:$D$124=A67)*(Incassi!$A$5:$A$124&lt;=Fatture!$C$4)*Incassi!$A$5:$A$124)),"")</f>
        <v/>
      </c>
      <c r="M67" s="16" t="str">
        <f aca="false">IF(ISNUMBER(L67),L67-B67,"")</f>
        <v/>
      </c>
      <c r="N67" s="14" t="str">
        <f aca="false">IF(ISNUMBER(M67),M67*D67,"")</f>
        <v/>
      </c>
      <c r="O67" s="16" t="str">
        <f aca="false">IF(AND(AND(A67&lt;&gt;"",ISNUMBER(B67),B67&lt;=Fatture!$C$4),C67&lt;&gt;""),IF(COUNTIF($C$9:C67,C67)=1,MAX($O$8:O66)+1,""),"")</f>
        <v/>
      </c>
    </row>
    <row r="68" customFormat="false" ht="15" hidden="false" customHeight="false" outlineLevel="0" collapsed="false">
      <c r="A68" s="25" t="s">
        <v>128</v>
      </c>
      <c r="B68" s="26" t="n">
        <v>46259</v>
      </c>
      <c r="C68" s="25" t="s">
        <v>72</v>
      </c>
      <c r="D68" s="27" t="n">
        <v>6100</v>
      </c>
      <c r="E68" s="28"/>
      <c r="F68" s="29" t="n">
        <f aca="false">IF(ISNUMBER(B68),B68+IF(ISNUMBER(E68),E68,$C$5),"")</f>
        <v>46289</v>
      </c>
      <c r="G68" s="14" t="n">
        <f aca="false">IF(AND(A68&lt;&gt;"",ISNUMBER(B68),B68&lt;=Fatture!$C$4),SUMIFS(Incassi!$C$5:$C$124,Incassi!$D$5:$D$124,A68,Incassi!$A$5:$A$124,"&lt;="&amp;Fatture!$C$4),"")</f>
        <v>0</v>
      </c>
      <c r="H68" s="14" t="n">
        <f aca="false">IF(AND(A68&lt;&gt;"",ISNUMBER(B68),B68&lt;=Fatture!$C$4),D68-G68,"")</f>
        <v>6100</v>
      </c>
      <c r="I68" s="30" t="str">
        <f aca="false">IF(A68="","",IF(NOT(AND(A68&lt;&gt;"",ISNUMBER(B68),B68&lt;=Fatture!$C$4)),"Dopo la data",IF(H68&lt;0,"Incassata più del dovuto",IF(H68=0,"Incassata",IF(F68&gt;=Fatture!$C$4,"Da incassare",IF(G68&gt;0,"Scaduta, in parte","Scaduta"))))))</f>
        <v>Scaduta</v>
      </c>
      <c r="J68" s="16" t="n">
        <f aca="false">IF(AND(ISNUMBER(H68),H68&gt;0),MAX(0,Fatture!$C$4-F68),"")</f>
        <v>6</v>
      </c>
      <c r="K68" s="30" t="str">
        <f aca="false">IF(J68="","",IF(J68=0,"Non scaduto",IF(J68&lt;=30,"1-30 giorni",IF(J68&lt;=60,"31-60 giorni",IF(J68&lt;=90,"61-90 giorni","Oltre 90 giorni")))))</f>
        <v>1-30 giorni</v>
      </c>
      <c r="L68" s="29" t="str">
        <f aca="false">IF(I68="Incassata",SUMPRODUCT(MAX((Incassi!$D$5:$D$124=A68)*(Incassi!$A$5:$A$124&lt;=Fatture!$C$4)*Incassi!$A$5:$A$124)),"")</f>
        <v/>
      </c>
      <c r="M68" s="16" t="str">
        <f aca="false">IF(ISNUMBER(L68),L68-B68,"")</f>
        <v/>
      </c>
      <c r="N68" s="14" t="str">
        <f aca="false">IF(ISNUMBER(M68),M68*D68,"")</f>
        <v/>
      </c>
      <c r="O68" s="16" t="str">
        <f aca="false">IF(AND(AND(A68&lt;&gt;"",ISNUMBER(B68),B68&lt;=Fatture!$C$4),C68&lt;&gt;""),IF(COUNTIF($C$9:C68,C68)=1,MAX($O$8:O67)+1,""),"")</f>
        <v/>
      </c>
    </row>
    <row r="69" customFormat="false" ht="15" hidden="false" customHeight="false" outlineLevel="0" collapsed="false">
      <c r="A69" s="25" t="s">
        <v>129</v>
      </c>
      <c r="B69" s="26" t="n">
        <v>46246</v>
      </c>
      <c r="C69" s="25" t="s">
        <v>74</v>
      </c>
      <c r="D69" s="27" t="n">
        <v>3660</v>
      </c>
      <c r="E69" s="28"/>
      <c r="F69" s="29" t="n">
        <f aca="false">IF(ISNUMBER(B69),B69+IF(ISNUMBER(E69),E69,$C$5),"")</f>
        <v>46276</v>
      </c>
      <c r="G69" s="14" t="n">
        <f aca="false">IF(AND(A69&lt;&gt;"",ISNUMBER(B69),B69&lt;=Fatture!$C$4),SUMIFS(Incassi!$C$5:$C$124,Incassi!$D$5:$D$124,A69,Incassi!$A$5:$A$124,"&lt;="&amp;Fatture!$C$4),"")</f>
        <v>3660</v>
      </c>
      <c r="H69" s="14" t="n">
        <f aca="false">IF(AND(A69&lt;&gt;"",ISNUMBER(B69),B69&lt;=Fatture!$C$4),D69-G69,"")</f>
        <v>0</v>
      </c>
      <c r="I69" s="30" t="str">
        <f aca="false">IF(A69="","",IF(NOT(AND(A69&lt;&gt;"",ISNUMBER(B69),B69&lt;=Fatture!$C$4)),"Dopo la data",IF(H69&lt;0,"Incassata più del dovuto",IF(H69=0,"Incassata",IF(F69&gt;=Fatture!$C$4,"Da incassare",IF(G69&gt;0,"Scaduta, in parte","Scaduta"))))))</f>
        <v>Incassata</v>
      </c>
      <c r="J69" s="16" t="str">
        <f aca="false">IF(AND(ISNUMBER(H69),H69&gt;0),MAX(0,Fatture!$C$4-F69),"")</f>
        <v/>
      </c>
      <c r="K69" s="30" t="str">
        <f aca="false">IF(J69="","",IF(J69=0,"Non scaduto",IF(J69&lt;=30,"1-30 giorni",IF(J69&lt;=60,"31-60 giorni",IF(J69&lt;=90,"61-90 giorni","Oltre 90 giorni")))))</f>
        <v/>
      </c>
      <c r="L69" s="29" t="n">
        <f aca="false">IF(I69="Incassata",SUMPRODUCT(MAX((Incassi!$D$5:$D$124=A69)*(Incassi!$A$5:$A$124&lt;=Fatture!$C$4)*Incassi!$A$5:$A$124)),"")</f>
        <v>46276</v>
      </c>
      <c r="M69" s="16" t="n">
        <f aca="false">IF(ISNUMBER(L69),L69-B69,"")</f>
        <v>30</v>
      </c>
      <c r="N69" s="14" t="n">
        <f aca="false">IF(ISNUMBER(M69),M69*D69,"")</f>
        <v>109800</v>
      </c>
      <c r="O69" s="16" t="str">
        <f aca="false">IF(AND(AND(A69&lt;&gt;"",ISNUMBER(B69),B69&lt;=Fatture!$C$4),C69&lt;&gt;""),IF(COUNTIF($C$9:C69,C69)=1,MAX($O$8:O68)+1,""),"")</f>
        <v/>
      </c>
    </row>
    <row r="70" customFormat="false" ht="15" hidden="false" customHeight="false" outlineLevel="0" collapsed="false">
      <c r="A70" s="25" t="s">
        <v>130</v>
      </c>
      <c r="B70" s="26" t="n">
        <v>46262</v>
      </c>
      <c r="C70" s="25" t="s">
        <v>76</v>
      </c>
      <c r="D70" s="27" t="n">
        <v>7320</v>
      </c>
      <c r="E70" s="28" t="n">
        <v>90</v>
      </c>
      <c r="F70" s="29" t="n">
        <f aca="false">IF(ISNUMBER(B70),B70+IF(ISNUMBER(E70),E70,$C$5),"")</f>
        <v>46352</v>
      </c>
      <c r="G70" s="14" t="n">
        <f aca="false">IF(AND(A70&lt;&gt;"",ISNUMBER(B70),B70&lt;=Fatture!$C$4),SUMIFS(Incassi!$C$5:$C$124,Incassi!$D$5:$D$124,A70,Incassi!$A$5:$A$124,"&lt;="&amp;Fatture!$C$4),"")</f>
        <v>0</v>
      </c>
      <c r="H70" s="14" t="n">
        <f aca="false">IF(AND(A70&lt;&gt;"",ISNUMBER(B70),B70&lt;=Fatture!$C$4),D70-G70,"")</f>
        <v>7320</v>
      </c>
      <c r="I70" s="30" t="str">
        <f aca="false">IF(A70="","",IF(NOT(AND(A70&lt;&gt;"",ISNUMBER(B70),B70&lt;=Fatture!$C$4)),"Dopo la data",IF(H70&lt;0,"Incassata più del dovuto",IF(H70=0,"Incassata",IF(F70&gt;=Fatture!$C$4,"Da incassare",IF(G70&gt;0,"Scaduta, in parte","Scaduta"))))))</f>
        <v>Da incassare</v>
      </c>
      <c r="J70" s="16" t="n">
        <f aca="false">IF(AND(ISNUMBER(H70),H70&gt;0),MAX(0,Fatture!$C$4-F70),"")</f>
        <v>0</v>
      </c>
      <c r="K70" s="30" t="str">
        <f aca="false">IF(J70="","",IF(J70=0,"Non scaduto",IF(J70&lt;=30,"1-30 giorni",IF(J70&lt;=60,"31-60 giorni",IF(J70&lt;=90,"61-90 giorni","Oltre 90 giorni")))))</f>
        <v>Non scaduto</v>
      </c>
      <c r="L70" s="29" t="str">
        <f aca="false">IF(I70="Incassata",SUMPRODUCT(MAX((Incassi!$D$5:$D$124=A70)*(Incassi!$A$5:$A$124&lt;=Fatture!$C$4)*Incassi!$A$5:$A$124)),"")</f>
        <v/>
      </c>
      <c r="M70" s="16" t="str">
        <f aca="false">IF(ISNUMBER(L70),L70-B70,"")</f>
        <v/>
      </c>
      <c r="N70" s="14" t="str">
        <f aca="false">IF(ISNUMBER(M70),M70*D70,"")</f>
        <v/>
      </c>
      <c r="O70" s="16" t="str">
        <f aca="false">IF(AND(AND(A70&lt;&gt;"",ISNUMBER(B70),B70&lt;=Fatture!$C$4),C70&lt;&gt;""),IF(COUNTIF($C$9:C70,C70)=1,MAX($O$8:O69)+1,""),"")</f>
        <v/>
      </c>
    </row>
    <row r="71" customFormat="false" ht="15" hidden="false" customHeight="false" outlineLevel="0" collapsed="false">
      <c r="A71" s="25" t="s">
        <v>131</v>
      </c>
      <c r="B71" s="26" t="n">
        <v>46270</v>
      </c>
      <c r="C71" s="25" t="s">
        <v>62</v>
      </c>
      <c r="D71" s="27" t="n">
        <v>12200</v>
      </c>
      <c r="E71" s="28"/>
      <c r="F71" s="29" t="n">
        <f aca="false">IF(ISNUMBER(B71),B71+IF(ISNUMBER(E71),E71,$C$5),"")</f>
        <v>46300</v>
      </c>
      <c r="G71" s="14" t="n">
        <f aca="false">IF(AND(A71&lt;&gt;"",ISNUMBER(B71),B71&lt;=Fatture!$C$4),SUMIFS(Incassi!$C$5:$C$124,Incassi!$D$5:$D$124,A71,Incassi!$A$5:$A$124,"&lt;="&amp;Fatture!$C$4),"")</f>
        <v>0</v>
      </c>
      <c r="H71" s="14" t="n">
        <f aca="false">IF(AND(A71&lt;&gt;"",ISNUMBER(B71),B71&lt;=Fatture!$C$4),D71-G71,"")</f>
        <v>12200</v>
      </c>
      <c r="I71" s="30" t="str">
        <f aca="false">IF(A71="","",IF(NOT(AND(A71&lt;&gt;"",ISNUMBER(B71),B71&lt;=Fatture!$C$4)),"Dopo la data",IF(H71&lt;0,"Incassata più del dovuto",IF(H71=0,"Incassata",IF(F71&gt;=Fatture!$C$4,"Da incassare",IF(G71&gt;0,"Scaduta, in parte","Scaduta"))))))</f>
        <v>Da incassare</v>
      </c>
      <c r="J71" s="16" t="n">
        <f aca="false">IF(AND(ISNUMBER(H71),H71&gt;0),MAX(0,Fatture!$C$4-F71),"")</f>
        <v>0</v>
      </c>
      <c r="K71" s="30" t="str">
        <f aca="false">IF(J71="","",IF(J71=0,"Non scaduto",IF(J71&lt;=30,"1-30 giorni",IF(J71&lt;=60,"31-60 giorni",IF(J71&lt;=90,"61-90 giorni","Oltre 90 giorni")))))</f>
        <v>Non scaduto</v>
      </c>
      <c r="L71" s="29" t="str">
        <f aca="false">IF(I71="Incassata",SUMPRODUCT(MAX((Incassi!$D$5:$D$124=A71)*(Incassi!$A$5:$A$124&lt;=Fatture!$C$4)*Incassi!$A$5:$A$124)),"")</f>
        <v/>
      </c>
      <c r="M71" s="16" t="str">
        <f aca="false">IF(ISNUMBER(L71),L71-B71,"")</f>
        <v/>
      </c>
      <c r="N71" s="14" t="str">
        <f aca="false">IF(ISNUMBER(M71),M71*D71,"")</f>
        <v/>
      </c>
      <c r="O71" s="16" t="str">
        <f aca="false">IF(AND(AND(A71&lt;&gt;"",ISNUMBER(B71),B71&lt;=Fatture!$C$4),C71&lt;&gt;""),IF(COUNTIF($C$9:C71,C71)=1,MAX($O$8:O70)+1,""),"")</f>
        <v/>
      </c>
    </row>
    <row r="72" customFormat="false" ht="15" hidden="false" customHeight="false" outlineLevel="0" collapsed="false">
      <c r="A72" s="25" t="s">
        <v>132</v>
      </c>
      <c r="B72" s="26" t="n">
        <v>46275</v>
      </c>
      <c r="C72" s="25" t="s">
        <v>64</v>
      </c>
      <c r="D72" s="27" t="n">
        <v>8540</v>
      </c>
      <c r="E72" s="28" t="n">
        <v>60</v>
      </c>
      <c r="F72" s="29" t="n">
        <f aca="false">IF(ISNUMBER(B72),B72+IF(ISNUMBER(E72),E72,$C$5),"")</f>
        <v>46335</v>
      </c>
      <c r="G72" s="14" t="n">
        <f aca="false">IF(AND(A72&lt;&gt;"",ISNUMBER(B72),B72&lt;=Fatture!$C$4),SUMIFS(Incassi!$C$5:$C$124,Incassi!$D$5:$D$124,A72,Incassi!$A$5:$A$124,"&lt;="&amp;Fatture!$C$4),"")</f>
        <v>0</v>
      </c>
      <c r="H72" s="14" t="n">
        <f aca="false">IF(AND(A72&lt;&gt;"",ISNUMBER(B72),B72&lt;=Fatture!$C$4),D72-G72,"")</f>
        <v>8540</v>
      </c>
      <c r="I72" s="30" t="str">
        <f aca="false">IF(A72="","",IF(NOT(AND(A72&lt;&gt;"",ISNUMBER(B72),B72&lt;=Fatture!$C$4)),"Dopo la data",IF(H72&lt;0,"Incassata più del dovuto",IF(H72=0,"Incassata",IF(F72&gt;=Fatture!$C$4,"Da incassare",IF(G72&gt;0,"Scaduta, in parte","Scaduta"))))))</f>
        <v>Da incassare</v>
      </c>
      <c r="J72" s="16" t="n">
        <f aca="false">IF(AND(ISNUMBER(H72),H72&gt;0),MAX(0,Fatture!$C$4-F72),"")</f>
        <v>0</v>
      </c>
      <c r="K72" s="30" t="str">
        <f aca="false">IF(J72="","",IF(J72=0,"Non scaduto",IF(J72&lt;=30,"1-30 giorni",IF(J72&lt;=60,"31-60 giorni",IF(J72&lt;=90,"61-90 giorni","Oltre 90 giorni")))))</f>
        <v>Non scaduto</v>
      </c>
      <c r="L72" s="29" t="str">
        <f aca="false">IF(I72="Incassata",SUMPRODUCT(MAX((Incassi!$D$5:$D$124=A72)*(Incassi!$A$5:$A$124&lt;=Fatture!$C$4)*Incassi!$A$5:$A$124)),"")</f>
        <v/>
      </c>
      <c r="M72" s="16" t="str">
        <f aca="false">IF(ISNUMBER(L72),L72-B72,"")</f>
        <v/>
      </c>
      <c r="N72" s="14" t="str">
        <f aca="false">IF(ISNUMBER(M72),M72*D72,"")</f>
        <v/>
      </c>
      <c r="O72" s="16" t="str">
        <f aca="false">IF(AND(AND(A72&lt;&gt;"",ISNUMBER(B72),B72&lt;=Fatture!$C$4),C72&lt;&gt;""),IF(COUNTIF($C$9:C72,C72)=1,MAX($O$8:O71)+1,""),"")</f>
        <v/>
      </c>
    </row>
    <row r="73" customFormat="false" ht="15" hidden="false" customHeight="false" outlineLevel="0" collapsed="false">
      <c r="A73" s="25" t="s">
        <v>133</v>
      </c>
      <c r="B73" s="26" t="n">
        <v>46280</v>
      </c>
      <c r="C73" s="25" t="s">
        <v>66</v>
      </c>
      <c r="D73" s="27" t="n">
        <v>15860</v>
      </c>
      <c r="E73" s="28"/>
      <c r="F73" s="29" t="n">
        <f aca="false">IF(ISNUMBER(B73),B73+IF(ISNUMBER(E73),E73,$C$5),"")</f>
        <v>46310</v>
      </c>
      <c r="G73" s="14" t="n">
        <f aca="false">IF(AND(A73&lt;&gt;"",ISNUMBER(B73),B73&lt;=Fatture!$C$4),SUMIFS(Incassi!$C$5:$C$124,Incassi!$D$5:$D$124,A73,Incassi!$A$5:$A$124,"&lt;="&amp;Fatture!$C$4),"")</f>
        <v>0</v>
      </c>
      <c r="H73" s="14" t="n">
        <f aca="false">IF(AND(A73&lt;&gt;"",ISNUMBER(B73),B73&lt;=Fatture!$C$4),D73-G73,"")</f>
        <v>15860</v>
      </c>
      <c r="I73" s="30" t="str">
        <f aca="false">IF(A73="","",IF(NOT(AND(A73&lt;&gt;"",ISNUMBER(B73),B73&lt;=Fatture!$C$4)),"Dopo la data",IF(H73&lt;0,"Incassata più del dovuto",IF(H73=0,"Incassata",IF(F73&gt;=Fatture!$C$4,"Da incassare",IF(G73&gt;0,"Scaduta, in parte","Scaduta"))))))</f>
        <v>Da incassare</v>
      </c>
      <c r="J73" s="16" t="n">
        <f aca="false">IF(AND(ISNUMBER(H73),H73&gt;0),MAX(0,Fatture!$C$4-F73),"")</f>
        <v>0</v>
      </c>
      <c r="K73" s="30" t="str">
        <f aca="false">IF(J73="","",IF(J73=0,"Non scaduto",IF(J73&lt;=30,"1-30 giorni",IF(J73&lt;=60,"31-60 giorni",IF(J73&lt;=90,"61-90 giorni","Oltre 90 giorni")))))</f>
        <v>Non scaduto</v>
      </c>
      <c r="L73" s="29" t="str">
        <f aca="false">IF(I73="Incassata",SUMPRODUCT(MAX((Incassi!$D$5:$D$124=A73)*(Incassi!$A$5:$A$124&lt;=Fatture!$C$4)*Incassi!$A$5:$A$124)),"")</f>
        <v/>
      </c>
      <c r="M73" s="16" t="str">
        <f aca="false">IF(ISNUMBER(L73),L73-B73,"")</f>
        <v/>
      </c>
      <c r="N73" s="14" t="str">
        <f aca="false">IF(ISNUMBER(M73),M73*D73,"")</f>
        <v/>
      </c>
      <c r="O73" s="16" t="str">
        <f aca="false">IF(AND(AND(A73&lt;&gt;"",ISNUMBER(B73),B73&lt;=Fatture!$C$4),C73&lt;&gt;""),IF(COUNTIF($C$9:C73,C73)=1,MAX($O$8:O72)+1,""),"")</f>
        <v/>
      </c>
    </row>
    <row r="74" customFormat="false" ht="15" hidden="false" customHeight="false" outlineLevel="0" collapsed="false">
      <c r="A74" s="25" t="s">
        <v>134</v>
      </c>
      <c r="B74" s="26" t="n">
        <v>46285</v>
      </c>
      <c r="C74" s="25" t="s">
        <v>68</v>
      </c>
      <c r="D74" s="27" t="n">
        <v>4880</v>
      </c>
      <c r="E74" s="28"/>
      <c r="F74" s="29" t="n">
        <f aca="false">IF(ISNUMBER(B74),B74+IF(ISNUMBER(E74),E74,$C$5),"")</f>
        <v>46315</v>
      </c>
      <c r="G74" s="14" t="n">
        <f aca="false">IF(AND(A74&lt;&gt;"",ISNUMBER(B74),B74&lt;=Fatture!$C$4),SUMIFS(Incassi!$C$5:$C$124,Incassi!$D$5:$D$124,A74,Incassi!$A$5:$A$124,"&lt;="&amp;Fatture!$C$4),"")</f>
        <v>0</v>
      </c>
      <c r="H74" s="14" t="n">
        <f aca="false">IF(AND(A74&lt;&gt;"",ISNUMBER(B74),B74&lt;=Fatture!$C$4),D74-G74,"")</f>
        <v>4880</v>
      </c>
      <c r="I74" s="30" t="str">
        <f aca="false">IF(A74="","",IF(NOT(AND(A74&lt;&gt;"",ISNUMBER(B74),B74&lt;=Fatture!$C$4)),"Dopo la data",IF(H74&lt;0,"Incassata più del dovuto",IF(H74=0,"Incassata",IF(F74&gt;=Fatture!$C$4,"Da incassare",IF(G74&gt;0,"Scaduta, in parte","Scaduta"))))))</f>
        <v>Da incassare</v>
      </c>
      <c r="J74" s="16" t="n">
        <f aca="false">IF(AND(ISNUMBER(H74),H74&gt;0),MAX(0,Fatture!$C$4-F74),"")</f>
        <v>0</v>
      </c>
      <c r="K74" s="30" t="str">
        <f aca="false">IF(J74="","",IF(J74=0,"Non scaduto",IF(J74&lt;=30,"1-30 giorni",IF(J74&lt;=60,"31-60 giorni",IF(J74&lt;=90,"61-90 giorni","Oltre 90 giorni")))))</f>
        <v>Non scaduto</v>
      </c>
      <c r="L74" s="29" t="str">
        <f aca="false">IF(I74="Incassata",SUMPRODUCT(MAX((Incassi!$D$5:$D$124=A74)*(Incassi!$A$5:$A$124&lt;=Fatture!$C$4)*Incassi!$A$5:$A$124)),"")</f>
        <v/>
      </c>
      <c r="M74" s="16" t="str">
        <f aca="false">IF(ISNUMBER(L74),L74-B74,"")</f>
        <v/>
      </c>
      <c r="N74" s="14" t="str">
        <f aca="false">IF(ISNUMBER(M74),M74*D74,"")</f>
        <v/>
      </c>
      <c r="O74" s="16" t="str">
        <f aca="false">IF(AND(AND(A74&lt;&gt;"",ISNUMBER(B74),B74&lt;=Fatture!$C$4),C74&lt;&gt;""),IF(COUNTIF($C$9:C74,C74)=1,MAX($O$8:O73)+1,""),"")</f>
        <v/>
      </c>
    </row>
    <row r="75" customFormat="false" ht="15" hidden="false" customHeight="false" outlineLevel="0" collapsed="false">
      <c r="A75" s="25" t="s">
        <v>135</v>
      </c>
      <c r="B75" s="26" t="n">
        <v>46290</v>
      </c>
      <c r="C75" s="25" t="s">
        <v>72</v>
      </c>
      <c r="D75" s="27" t="n">
        <v>6100</v>
      </c>
      <c r="E75" s="28"/>
      <c r="F75" s="29" t="n">
        <f aca="false">IF(ISNUMBER(B75),B75+IF(ISNUMBER(E75),E75,$C$5),"")</f>
        <v>46320</v>
      </c>
      <c r="G75" s="14" t="n">
        <f aca="false">IF(AND(A75&lt;&gt;"",ISNUMBER(B75),B75&lt;=Fatture!$C$4),SUMIFS(Incassi!$C$5:$C$124,Incassi!$D$5:$D$124,A75,Incassi!$A$5:$A$124,"&lt;="&amp;Fatture!$C$4),"")</f>
        <v>0</v>
      </c>
      <c r="H75" s="14" t="n">
        <f aca="false">IF(AND(A75&lt;&gt;"",ISNUMBER(B75),B75&lt;=Fatture!$C$4),D75-G75,"")</f>
        <v>6100</v>
      </c>
      <c r="I75" s="30" t="str">
        <f aca="false">IF(A75="","",IF(NOT(AND(A75&lt;&gt;"",ISNUMBER(B75),B75&lt;=Fatture!$C$4)),"Dopo la data",IF(H75&lt;0,"Incassata più del dovuto",IF(H75=0,"Incassata",IF(F75&gt;=Fatture!$C$4,"Da incassare",IF(G75&gt;0,"Scaduta, in parte","Scaduta"))))))</f>
        <v>Da incassare</v>
      </c>
      <c r="J75" s="16" t="n">
        <f aca="false">IF(AND(ISNUMBER(H75),H75&gt;0),MAX(0,Fatture!$C$4-F75),"")</f>
        <v>0</v>
      </c>
      <c r="K75" s="30" t="str">
        <f aca="false">IF(J75="","",IF(J75=0,"Non scaduto",IF(J75&lt;=30,"1-30 giorni",IF(J75&lt;=60,"31-60 giorni",IF(J75&lt;=90,"61-90 giorni","Oltre 90 giorni")))))</f>
        <v>Non scaduto</v>
      </c>
      <c r="L75" s="29" t="str">
        <f aca="false">IF(I75="Incassata",SUMPRODUCT(MAX((Incassi!$D$5:$D$124=A75)*(Incassi!$A$5:$A$124&lt;=Fatture!$C$4)*Incassi!$A$5:$A$124)),"")</f>
        <v/>
      </c>
      <c r="M75" s="16" t="str">
        <f aca="false">IF(ISNUMBER(L75),L75-B75,"")</f>
        <v/>
      </c>
      <c r="N75" s="14" t="str">
        <f aca="false">IF(ISNUMBER(M75),M75*D75,"")</f>
        <v/>
      </c>
      <c r="O75" s="16" t="str">
        <f aca="false">IF(AND(AND(A75&lt;&gt;"",ISNUMBER(B75),B75&lt;=Fatture!$C$4),C75&lt;&gt;""),IF(COUNTIF($C$9:C75,C75)=1,MAX($O$8:O74)+1,""),"")</f>
        <v/>
      </c>
    </row>
    <row r="76" customFormat="false" ht="15" hidden="false" customHeight="false" outlineLevel="0" collapsed="false">
      <c r="A76" s="25" t="s">
        <v>136</v>
      </c>
      <c r="B76" s="26" t="n">
        <v>46277</v>
      </c>
      <c r="C76" s="25" t="s">
        <v>74</v>
      </c>
      <c r="D76" s="27" t="n">
        <v>3660</v>
      </c>
      <c r="E76" s="28"/>
      <c r="F76" s="29" t="n">
        <f aca="false">IF(ISNUMBER(B76),B76+IF(ISNUMBER(E76),E76,$C$5),"")</f>
        <v>46307</v>
      </c>
      <c r="G76" s="14" t="n">
        <f aca="false">IF(AND(A76&lt;&gt;"",ISNUMBER(B76),B76&lt;=Fatture!$C$4),SUMIFS(Incassi!$C$5:$C$124,Incassi!$D$5:$D$124,A76,Incassi!$A$5:$A$124,"&lt;="&amp;Fatture!$C$4),"")</f>
        <v>0</v>
      </c>
      <c r="H76" s="14" t="n">
        <f aca="false">IF(AND(A76&lt;&gt;"",ISNUMBER(B76),B76&lt;=Fatture!$C$4),D76-G76,"")</f>
        <v>3660</v>
      </c>
      <c r="I76" s="30" t="str">
        <f aca="false">IF(A76="","",IF(NOT(AND(A76&lt;&gt;"",ISNUMBER(B76),B76&lt;=Fatture!$C$4)),"Dopo la data",IF(H76&lt;0,"Incassata più del dovuto",IF(H76=0,"Incassata",IF(F76&gt;=Fatture!$C$4,"Da incassare",IF(G76&gt;0,"Scaduta, in parte","Scaduta"))))))</f>
        <v>Da incassare</v>
      </c>
      <c r="J76" s="16" t="n">
        <f aca="false">IF(AND(ISNUMBER(H76),H76&gt;0),MAX(0,Fatture!$C$4-F76),"")</f>
        <v>0</v>
      </c>
      <c r="K76" s="30" t="str">
        <f aca="false">IF(J76="","",IF(J76=0,"Non scaduto",IF(J76&lt;=30,"1-30 giorni",IF(J76&lt;=60,"31-60 giorni",IF(J76&lt;=90,"61-90 giorni","Oltre 90 giorni")))))</f>
        <v>Non scaduto</v>
      </c>
      <c r="L76" s="29" t="str">
        <f aca="false">IF(I76="Incassata",SUMPRODUCT(MAX((Incassi!$D$5:$D$124=A76)*(Incassi!$A$5:$A$124&lt;=Fatture!$C$4)*Incassi!$A$5:$A$124)),"")</f>
        <v/>
      </c>
      <c r="M76" s="16" t="str">
        <f aca="false">IF(ISNUMBER(L76),L76-B76,"")</f>
        <v/>
      </c>
      <c r="N76" s="14" t="str">
        <f aca="false">IF(ISNUMBER(M76),M76*D76,"")</f>
        <v/>
      </c>
      <c r="O76" s="16" t="str">
        <f aca="false">IF(AND(AND(A76&lt;&gt;"",ISNUMBER(B76),B76&lt;=Fatture!$C$4),C76&lt;&gt;""),IF(COUNTIF($C$9:C76,C76)=1,MAX($O$8:O75)+1,""),"")</f>
        <v/>
      </c>
    </row>
    <row r="77" customFormat="false" ht="15" hidden="false" customHeight="false" outlineLevel="0" collapsed="false">
      <c r="A77" s="25" t="s">
        <v>137</v>
      </c>
      <c r="B77" s="26" t="n">
        <v>46293</v>
      </c>
      <c r="C77" s="25" t="s">
        <v>76</v>
      </c>
      <c r="D77" s="27" t="n">
        <v>7320</v>
      </c>
      <c r="E77" s="28" t="n">
        <v>90</v>
      </c>
      <c r="F77" s="29" t="n">
        <f aca="false">IF(ISNUMBER(B77),B77+IF(ISNUMBER(E77),E77,$C$5),"")</f>
        <v>46383</v>
      </c>
      <c r="G77" s="14" t="n">
        <f aca="false">IF(AND(A77&lt;&gt;"",ISNUMBER(B77),B77&lt;=Fatture!$C$4),SUMIFS(Incassi!$C$5:$C$124,Incassi!$D$5:$D$124,A77,Incassi!$A$5:$A$124,"&lt;="&amp;Fatture!$C$4),"")</f>
        <v>0</v>
      </c>
      <c r="H77" s="14" t="n">
        <f aca="false">IF(AND(A77&lt;&gt;"",ISNUMBER(B77),B77&lt;=Fatture!$C$4),D77-G77,"")</f>
        <v>7320</v>
      </c>
      <c r="I77" s="30" t="str">
        <f aca="false">IF(A77="","",IF(NOT(AND(A77&lt;&gt;"",ISNUMBER(B77),B77&lt;=Fatture!$C$4)),"Dopo la data",IF(H77&lt;0,"Incassata più del dovuto",IF(H77=0,"Incassata",IF(F77&gt;=Fatture!$C$4,"Da incassare",IF(G77&gt;0,"Scaduta, in parte","Scaduta"))))))</f>
        <v>Da incassare</v>
      </c>
      <c r="J77" s="16" t="n">
        <f aca="false">IF(AND(ISNUMBER(H77),H77&gt;0),MAX(0,Fatture!$C$4-F77),"")</f>
        <v>0</v>
      </c>
      <c r="K77" s="30" t="str">
        <f aca="false">IF(J77="","",IF(J77=0,"Non scaduto",IF(J77&lt;=30,"1-30 giorni",IF(J77&lt;=60,"31-60 giorni",IF(J77&lt;=90,"61-90 giorni","Oltre 90 giorni")))))</f>
        <v>Non scaduto</v>
      </c>
      <c r="L77" s="29" t="str">
        <f aca="false">IF(I77="Incassata",SUMPRODUCT(MAX((Incassi!$D$5:$D$124=A77)*(Incassi!$A$5:$A$124&lt;=Fatture!$C$4)*Incassi!$A$5:$A$124)),"")</f>
        <v/>
      </c>
      <c r="M77" s="16" t="str">
        <f aca="false">IF(ISNUMBER(L77),L77-B77,"")</f>
        <v/>
      </c>
      <c r="N77" s="14" t="str">
        <f aca="false">IF(ISNUMBER(M77),M77*D77,"")</f>
        <v/>
      </c>
      <c r="O77" s="16" t="str">
        <f aca="false">IF(AND(AND(A77&lt;&gt;"",ISNUMBER(B77),B77&lt;=Fatture!$C$4),C77&lt;&gt;""),IF(COUNTIF($C$9:C77,C77)=1,MAX($O$8:O76)+1,""),"")</f>
        <v/>
      </c>
    </row>
    <row r="78" customFormat="false" ht="15" hidden="false" customHeight="false" outlineLevel="0" collapsed="false">
      <c r="A78" s="25"/>
      <c r="B78" s="26"/>
      <c r="C78" s="25"/>
      <c r="D78" s="27"/>
      <c r="E78" s="28"/>
      <c r="F78" s="29" t="str">
        <f aca="false">IF(ISNUMBER(B78),B78+IF(ISNUMBER(E78),E78,$C$5),"")</f>
        <v/>
      </c>
      <c r="G78" s="14" t="str">
        <f aca="false">IF(AND(A78&lt;&gt;"",ISNUMBER(B78),B78&lt;=Fatture!$C$4),SUMIFS(Incassi!$C$5:$C$124,Incassi!$D$5:$D$124,A78,Incassi!$A$5:$A$124,"&lt;="&amp;Fatture!$C$4),"")</f>
        <v/>
      </c>
      <c r="H78" s="14" t="str">
        <f aca="false">IF(AND(A78&lt;&gt;"",ISNUMBER(B78),B78&lt;=Fatture!$C$4),D78-G78,"")</f>
        <v/>
      </c>
      <c r="I78" s="30" t="str">
        <f aca="false">IF(A78="","",IF(NOT(AND(A78&lt;&gt;"",ISNUMBER(B78),B78&lt;=Fatture!$C$4)),"Dopo la data",IF(H78&lt;0,"Incassata più del dovuto",IF(H78=0,"Incassata",IF(F78&gt;=Fatture!$C$4,"Da incassare",IF(G78&gt;0,"Scaduta, in parte","Scaduta"))))))</f>
        <v/>
      </c>
      <c r="J78" s="16" t="str">
        <f aca="false">IF(AND(ISNUMBER(H78),H78&gt;0),MAX(0,Fatture!$C$4-F78),"")</f>
        <v/>
      </c>
      <c r="K78" s="30" t="str">
        <f aca="false">IF(J78="","",IF(J78=0,"Non scaduto",IF(J78&lt;=30,"1-30 giorni",IF(J78&lt;=60,"31-60 giorni",IF(J78&lt;=90,"61-90 giorni","Oltre 90 giorni")))))</f>
        <v/>
      </c>
      <c r="L78" s="29" t="str">
        <f aca="false">IF(I78="Incassata",SUMPRODUCT(MAX((Incassi!$D$5:$D$124=A78)*(Incassi!$A$5:$A$124&lt;=Fatture!$C$4)*Incassi!$A$5:$A$124)),"")</f>
        <v/>
      </c>
      <c r="M78" s="16" t="str">
        <f aca="false">IF(ISNUMBER(L78),L78-B78,"")</f>
        <v/>
      </c>
      <c r="N78" s="14" t="str">
        <f aca="false">IF(ISNUMBER(M78),M78*D78,"")</f>
        <v/>
      </c>
      <c r="O78" s="16" t="str">
        <f aca="false">IF(AND(AND(A78&lt;&gt;"",ISNUMBER(B78),B78&lt;=Fatture!$C$4),C78&lt;&gt;""),IF(COUNTIF($C$9:C78,C78)=1,MAX($O$8:O77)+1,""),"")</f>
        <v/>
      </c>
    </row>
    <row r="79" customFormat="false" ht="15" hidden="false" customHeight="false" outlineLevel="0" collapsed="false">
      <c r="A79" s="25"/>
      <c r="B79" s="26"/>
      <c r="C79" s="25"/>
      <c r="D79" s="27"/>
      <c r="E79" s="28"/>
      <c r="F79" s="29" t="str">
        <f aca="false">IF(ISNUMBER(B79),B79+IF(ISNUMBER(E79),E79,$C$5),"")</f>
        <v/>
      </c>
      <c r="G79" s="14" t="str">
        <f aca="false">IF(AND(A79&lt;&gt;"",ISNUMBER(B79),B79&lt;=Fatture!$C$4),SUMIFS(Incassi!$C$5:$C$124,Incassi!$D$5:$D$124,A79,Incassi!$A$5:$A$124,"&lt;="&amp;Fatture!$C$4),"")</f>
        <v/>
      </c>
      <c r="H79" s="14" t="str">
        <f aca="false">IF(AND(A79&lt;&gt;"",ISNUMBER(B79),B79&lt;=Fatture!$C$4),D79-G79,"")</f>
        <v/>
      </c>
      <c r="I79" s="30" t="str">
        <f aca="false">IF(A79="","",IF(NOT(AND(A79&lt;&gt;"",ISNUMBER(B79),B79&lt;=Fatture!$C$4)),"Dopo la data",IF(H79&lt;0,"Incassata più del dovuto",IF(H79=0,"Incassata",IF(F79&gt;=Fatture!$C$4,"Da incassare",IF(G79&gt;0,"Scaduta, in parte","Scaduta"))))))</f>
        <v/>
      </c>
      <c r="J79" s="16" t="str">
        <f aca="false">IF(AND(ISNUMBER(H79),H79&gt;0),MAX(0,Fatture!$C$4-F79),"")</f>
        <v/>
      </c>
      <c r="K79" s="30" t="str">
        <f aca="false">IF(J79="","",IF(J79=0,"Non scaduto",IF(J79&lt;=30,"1-30 giorni",IF(J79&lt;=60,"31-60 giorni",IF(J79&lt;=90,"61-90 giorni","Oltre 90 giorni")))))</f>
        <v/>
      </c>
      <c r="L79" s="29" t="str">
        <f aca="false">IF(I79="Incassata",SUMPRODUCT(MAX((Incassi!$D$5:$D$124=A79)*(Incassi!$A$5:$A$124&lt;=Fatture!$C$4)*Incassi!$A$5:$A$124)),"")</f>
        <v/>
      </c>
      <c r="M79" s="16" t="str">
        <f aca="false">IF(ISNUMBER(L79),L79-B79,"")</f>
        <v/>
      </c>
      <c r="N79" s="14" t="str">
        <f aca="false">IF(ISNUMBER(M79),M79*D79,"")</f>
        <v/>
      </c>
      <c r="O79" s="16" t="str">
        <f aca="false">IF(AND(AND(A79&lt;&gt;"",ISNUMBER(B79),B79&lt;=Fatture!$C$4),C79&lt;&gt;""),IF(COUNTIF($C$9:C79,C79)=1,MAX($O$8:O78)+1,""),"")</f>
        <v/>
      </c>
    </row>
    <row r="80" customFormat="false" ht="15" hidden="false" customHeight="false" outlineLevel="0" collapsed="false">
      <c r="A80" s="25"/>
      <c r="B80" s="26"/>
      <c r="C80" s="25"/>
      <c r="D80" s="27"/>
      <c r="E80" s="28"/>
      <c r="F80" s="29" t="str">
        <f aca="false">IF(ISNUMBER(B80),B80+IF(ISNUMBER(E80),E80,$C$5),"")</f>
        <v/>
      </c>
      <c r="G80" s="14" t="str">
        <f aca="false">IF(AND(A80&lt;&gt;"",ISNUMBER(B80),B80&lt;=Fatture!$C$4),SUMIFS(Incassi!$C$5:$C$124,Incassi!$D$5:$D$124,A80,Incassi!$A$5:$A$124,"&lt;="&amp;Fatture!$C$4),"")</f>
        <v/>
      </c>
      <c r="H80" s="14" t="str">
        <f aca="false">IF(AND(A80&lt;&gt;"",ISNUMBER(B80),B80&lt;=Fatture!$C$4),D80-G80,"")</f>
        <v/>
      </c>
      <c r="I80" s="30" t="str">
        <f aca="false">IF(A80="","",IF(NOT(AND(A80&lt;&gt;"",ISNUMBER(B80),B80&lt;=Fatture!$C$4)),"Dopo la data",IF(H80&lt;0,"Incassata più del dovuto",IF(H80=0,"Incassata",IF(F80&gt;=Fatture!$C$4,"Da incassare",IF(G80&gt;0,"Scaduta, in parte","Scaduta"))))))</f>
        <v/>
      </c>
      <c r="J80" s="16" t="str">
        <f aca="false">IF(AND(ISNUMBER(H80),H80&gt;0),MAX(0,Fatture!$C$4-F80),"")</f>
        <v/>
      </c>
      <c r="K80" s="30" t="str">
        <f aca="false">IF(J80="","",IF(J80=0,"Non scaduto",IF(J80&lt;=30,"1-30 giorni",IF(J80&lt;=60,"31-60 giorni",IF(J80&lt;=90,"61-90 giorni","Oltre 90 giorni")))))</f>
        <v/>
      </c>
      <c r="L80" s="29" t="str">
        <f aca="false">IF(I80="Incassata",SUMPRODUCT(MAX((Incassi!$D$5:$D$124=A80)*(Incassi!$A$5:$A$124&lt;=Fatture!$C$4)*Incassi!$A$5:$A$124)),"")</f>
        <v/>
      </c>
      <c r="M80" s="16" t="str">
        <f aca="false">IF(ISNUMBER(L80),L80-B80,"")</f>
        <v/>
      </c>
      <c r="N80" s="14" t="str">
        <f aca="false">IF(ISNUMBER(M80),M80*D80,"")</f>
        <v/>
      </c>
      <c r="O80" s="16" t="str">
        <f aca="false">IF(AND(AND(A80&lt;&gt;"",ISNUMBER(B80),B80&lt;=Fatture!$C$4),C80&lt;&gt;""),IF(COUNTIF($C$9:C80,C80)=1,MAX($O$8:O79)+1,""),"")</f>
        <v/>
      </c>
    </row>
    <row r="81" customFormat="false" ht="15" hidden="false" customHeight="false" outlineLevel="0" collapsed="false">
      <c r="A81" s="25"/>
      <c r="B81" s="26"/>
      <c r="C81" s="25"/>
      <c r="D81" s="27"/>
      <c r="E81" s="28"/>
      <c r="F81" s="29" t="str">
        <f aca="false">IF(ISNUMBER(B81),B81+IF(ISNUMBER(E81),E81,$C$5),"")</f>
        <v/>
      </c>
      <c r="G81" s="14" t="str">
        <f aca="false">IF(AND(A81&lt;&gt;"",ISNUMBER(B81),B81&lt;=Fatture!$C$4),SUMIFS(Incassi!$C$5:$C$124,Incassi!$D$5:$D$124,A81,Incassi!$A$5:$A$124,"&lt;="&amp;Fatture!$C$4),"")</f>
        <v/>
      </c>
      <c r="H81" s="14" t="str">
        <f aca="false">IF(AND(A81&lt;&gt;"",ISNUMBER(B81),B81&lt;=Fatture!$C$4),D81-G81,"")</f>
        <v/>
      </c>
      <c r="I81" s="30" t="str">
        <f aca="false">IF(A81="","",IF(NOT(AND(A81&lt;&gt;"",ISNUMBER(B81),B81&lt;=Fatture!$C$4)),"Dopo la data",IF(H81&lt;0,"Incassata più del dovuto",IF(H81=0,"Incassata",IF(F81&gt;=Fatture!$C$4,"Da incassare",IF(G81&gt;0,"Scaduta, in parte","Scaduta"))))))</f>
        <v/>
      </c>
      <c r="J81" s="16" t="str">
        <f aca="false">IF(AND(ISNUMBER(H81),H81&gt;0),MAX(0,Fatture!$C$4-F81),"")</f>
        <v/>
      </c>
      <c r="K81" s="30" t="str">
        <f aca="false">IF(J81="","",IF(J81=0,"Non scaduto",IF(J81&lt;=30,"1-30 giorni",IF(J81&lt;=60,"31-60 giorni",IF(J81&lt;=90,"61-90 giorni","Oltre 90 giorni")))))</f>
        <v/>
      </c>
      <c r="L81" s="29" t="str">
        <f aca="false">IF(I81="Incassata",SUMPRODUCT(MAX((Incassi!$D$5:$D$124=A81)*(Incassi!$A$5:$A$124&lt;=Fatture!$C$4)*Incassi!$A$5:$A$124)),"")</f>
        <v/>
      </c>
      <c r="M81" s="16" t="str">
        <f aca="false">IF(ISNUMBER(L81),L81-B81,"")</f>
        <v/>
      </c>
      <c r="N81" s="14" t="str">
        <f aca="false">IF(ISNUMBER(M81),M81*D81,"")</f>
        <v/>
      </c>
      <c r="O81" s="16" t="str">
        <f aca="false">IF(AND(AND(A81&lt;&gt;"",ISNUMBER(B81),B81&lt;=Fatture!$C$4),C81&lt;&gt;""),IF(COUNTIF($C$9:C81,C81)=1,MAX($O$8:O80)+1,""),"")</f>
        <v/>
      </c>
    </row>
    <row r="82" customFormat="false" ht="15" hidden="false" customHeight="false" outlineLevel="0" collapsed="false">
      <c r="A82" s="25"/>
      <c r="B82" s="26"/>
      <c r="C82" s="25"/>
      <c r="D82" s="27"/>
      <c r="E82" s="28"/>
      <c r="F82" s="29" t="str">
        <f aca="false">IF(ISNUMBER(B82),B82+IF(ISNUMBER(E82),E82,$C$5),"")</f>
        <v/>
      </c>
      <c r="G82" s="14" t="str">
        <f aca="false">IF(AND(A82&lt;&gt;"",ISNUMBER(B82),B82&lt;=Fatture!$C$4),SUMIFS(Incassi!$C$5:$C$124,Incassi!$D$5:$D$124,A82,Incassi!$A$5:$A$124,"&lt;="&amp;Fatture!$C$4),"")</f>
        <v/>
      </c>
      <c r="H82" s="14" t="str">
        <f aca="false">IF(AND(A82&lt;&gt;"",ISNUMBER(B82),B82&lt;=Fatture!$C$4),D82-G82,"")</f>
        <v/>
      </c>
      <c r="I82" s="30" t="str">
        <f aca="false">IF(A82="","",IF(NOT(AND(A82&lt;&gt;"",ISNUMBER(B82),B82&lt;=Fatture!$C$4)),"Dopo la data",IF(H82&lt;0,"Incassata più del dovuto",IF(H82=0,"Incassata",IF(F82&gt;=Fatture!$C$4,"Da incassare",IF(G82&gt;0,"Scaduta, in parte","Scaduta"))))))</f>
        <v/>
      </c>
      <c r="J82" s="16" t="str">
        <f aca="false">IF(AND(ISNUMBER(H82),H82&gt;0),MAX(0,Fatture!$C$4-F82),"")</f>
        <v/>
      </c>
      <c r="K82" s="30" t="str">
        <f aca="false">IF(J82="","",IF(J82=0,"Non scaduto",IF(J82&lt;=30,"1-30 giorni",IF(J82&lt;=60,"31-60 giorni",IF(J82&lt;=90,"61-90 giorni","Oltre 90 giorni")))))</f>
        <v/>
      </c>
      <c r="L82" s="29" t="str">
        <f aca="false">IF(I82="Incassata",SUMPRODUCT(MAX((Incassi!$D$5:$D$124=A82)*(Incassi!$A$5:$A$124&lt;=Fatture!$C$4)*Incassi!$A$5:$A$124)),"")</f>
        <v/>
      </c>
      <c r="M82" s="16" t="str">
        <f aca="false">IF(ISNUMBER(L82),L82-B82,"")</f>
        <v/>
      </c>
      <c r="N82" s="14" t="str">
        <f aca="false">IF(ISNUMBER(M82),M82*D82,"")</f>
        <v/>
      </c>
      <c r="O82" s="16" t="str">
        <f aca="false">IF(AND(AND(A82&lt;&gt;"",ISNUMBER(B82),B82&lt;=Fatture!$C$4),C82&lt;&gt;""),IF(COUNTIF($C$9:C82,C82)=1,MAX($O$8:O81)+1,""),"")</f>
        <v/>
      </c>
    </row>
    <row r="83" customFormat="false" ht="15" hidden="false" customHeight="false" outlineLevel="0" collapsed="false">
      <c r="A83" s="25"/>
      <c r="B83" s="26"/>
      <c r="C83" s="25"/>
      <c r="D83" s="27"/>
      <c r="E83" s="28"/>
      <c r="F83" s="29" t="str">
        <f aca="false">IF(ISNUMBER(B83),B83+IF(ISNUMBER(E83),E83,$C$5),"")</f>
        <v/>
      </c>
      <c r="G83" s="14" t="str">
        <f aca="false">IF(AND(A83&lt;&gt;"",ISNUMBER(B83),B83&lt;=Fatture!$C$4),SUMIFS(Incassi!$C$5:$C$124,Incassi!$D$5:$D$124,A83,Incassi!$A$5:$A$124,"&lt;="&amp;Fatture!$C$4),"")</f>
        <v/>
      </c>
      <c r="H83" s="14" t="str">
        <f aca="false">IF(AND(A83&lt;&gt;"",ISNUMBER(B83),B83&lt;=Fatture!$C$4),D83-G83,"")</f>
        <v/>
      </c>
      <c r="I83" s="30" t="str">
        <f aca="false">IF(A83="","",IF(NOT(AND(A83&lt;&gt;"",ISNUMBER(B83),B83&lt;=Fatture!$C$4)),"Dopo la data",IF(H83&lt;0,"Incassata più del dovuto",IF(H83=0,"Incassata",IF(F83&gt;=Fatture!$C$4,"Da incassare",IF(G83&gt;0,"Scaduta, in parte","Scaduta"))))))</f>
        <v/>
      </c>
      <c r="J83" s="16" t="str">
        <f aca="false">IF(AND(ISNUMBER(H83),H83&gt;0),MAX(0,Fatture!$C$4-F83),"")</f>
        <v/>
      </c>
      <c r="K83" s="30" t="str">
        <f aca="false">IF(J83="","",IF(J83=0,"Non scaduto",IF(J83&lt;=30,"1-30 giorni",IF(J83&lt;=60,"31-60 giorni",IF(J83&lt;=90,"61-90 giorni","Oltre 90 giorni")))))</f>
        <v/>
      </c>
      <c r="L83" s="29" t="str">
        <f aca="false">IF(I83="Incassata",SUMPRODUCT(MAX((Incassi!$D$5:$D$124=A83)*(Incassi!$A$5:$A$124&lt;=Fatture!$C$4)*Incassi!$A$5:$A$124)),"")</f>
        <v/>
      </c>
      <c r="M83" s="16" t="str">
        <f aca="false">IF(ISNUMBER(L83),L83-B83,"")</f>
        <v/>
      </c>
      <c r="N83" s="14" t="str">
        <f aca="false">IF(ISNUMBER(M83),M83*D83,"")</f>
        <v/>
      </c>
      <c r="O83" s="16" t="str">
        <f aca="false">IF(AND(AND(A83&lt;&gt;"",ISNUMBER(B83),B83&lt;=Fatture!$C$4),C83&lt;&gt;""),IF(COUNTIF($C$9:C83,C83)=1,MAX($O$8:O82)+1,""),"")</f>
        <v/>
      </c>
    </row>
    <row r="84" customFormat="false" ht="15" hidden="false" customHeight="false" outlineLevel="0" collapsed="false">
      <c r="A84" s="25"/>
      <c r="B84" s="26"/>
      <c r="C84" s="25"/>
      <c r="D84" s="27"/>
      <c r="E84" s="28"/>
      <c r="F84" s="29" t="str">
        <f aca="false">IF(ISNUMBER(B84),B84+IF(ISNUMBER(E84),E84,$C$5),"")</f>
        <v/>
      </c>
      <c r="G84" s="14" t="str">
        <f aca="false">IF(AND(A84&lt;&gt;"",ISNUMBER(B84),B84&lt;=Fatture!$C$4),SUMIFS(Incassi!$C$5:$C$124,Incassi!$D$5:$D$124,A84,Incassi!$A$5:$A$124,"&lt;="&amp;Fatture!$C$4),"")</f>
        <v/>
      </c>
      <c r="H84" s="14" t="str">
        <f aca="false">IF(AND(A84&lt;&gt;"",ISNUMBER(B84),B84&lt;=Fatture!$C$4),D84-G84,"")</f>
        <v/>
      </c>
      <c r="I84" s="30" t="str">
        <f aca="false">IF(A84="","",IF(NOT(AND(A84&lt;&gt;"",ISNUMBER(B84),B84&lt;=Fatture!$C$4)),"Dopo la data",IF(H84&lt;0,"Incassata più del dovuto",IF(H84=0,"Incassata",IF(F84&gt;=Fatture!$C$4,"Da incassare",IF(G84&gt;0,"Scaduta, in parte","Scaduta"))))))</f>
        <v/>
      </c>
      <c r="J84" s="16" t="str">
        <f aca="false">IF(AND(ISNUMBER(H84),H84&gt;0),MAX(0,Fatture!$C$4-F84),"")</f>
        <v/>
      </c>
      <c r="K84" s="30" t="str">
        <f aca="false">IF(J84="","",IF(J84=0,"Non scaduto",IF(J84&lt;=30,"1-30 giorni",IF(J84&lt;=60,"31-60 giorni",IF(J84&lt;=90,"61-90 giorni","Oltre 90 giorni")))))</f>
        <v/>
      </c>
      <c r="L84" s="29" t="str">
        <f aca="false">IF(I84="Incassata",SUMPRODUCT(MAX((Incassi!$D$5:$D$124=A84)*(Incassi!$A$5:$A$124&lt;=Fatture!$C$4)*Incassi!$A$5:$A$124)),"")</f>
        <v/>
      </c>
      <c r="M84" s="16" t="str">
        <f aca="false">IF(ISNUMBER(L84),L84-B84,"")</f>
        <v/>
      </c>
      <c r="N84" s="14" t="str">
        <f aca="false">IF(ISNUMBER(M84),M84*D84,"")</f>
        <v/>
      </c>
      <c r="O84" s="16" t="str">
        <f aca="false">IF(AND(AND(A84&lt;&gt;"",ISNUMBER(B84),B84&lt;=Fatture!$C$4),C84&lt;&gt;""),IF(COUNTIF($C$9:C84,C84)=1,MAX($O$8:O83)+1,""),"")</f>
        <v/>
      </c>
    </row>
    <row r="85" customFormat="false" ht="15" hidden="false" customHeight="false" outlineLevel="0" collapsed="false">
      <c r="A85" s="25"/>
      <c r="B85" s="26"/>
      <c r="C85" s="25"/>
      <c r="D85" s="27"/>
      <c r="E85" s="28"/>
      <c r="F85" s="29" t="str">
        <f aca="false">IF(ISNUMBER(B85),B85+IF(ISNUMBER(E85),E85,$C$5),"")</f>
        <v/>
      </c>
      <c r="G85" s="14" t="str">
        <f aca="false">IF(AND(A85&lt;&gt;"",ISNUMBER(B85),B85&lt;=Fatture!$C$4),SUMIFS(Incassi!$C$5:$C$124,Incassi!$D$5:$D$124,A85,Incassi!$A$5:$A$124,"&lt;="&amp;Fatture!$C$4),"")</f>
        <v/>
      </c>
      <c r="H85" s="14" t="str">
        <f aca="false">IF(AND(A85&lt;&gt;"",ISNUMBER(B85),B85&lt;=Fatture!$C$4),D85-G85,"")</f>
        <v/>
      </c>
      <c r="I85" s="30" t="str">
        <f aca="false">IF(A85="","",IF(NOT(AND(A85&lt;&gt;"",ISNUMBER(B85),B85&lt;=Fatture!$C$4)),"Dopo la data",IF(H85&lt;0,"Incassata più del dovuto",IF(H85=0,"Incassata",IF(F85&gt;=Fatture!$C$4,"Da incassare",IF(G85&gt;0,"Scaduta, in parte","Scaduta"))))))</f>
        <v/>
      </c>
      <c r="J85" s="16" t="str">
        <f aca="false">IF(AND(ISNUMBER(H85),H85&gt;0),MAX(0,Fatture!$C$4-F85),"")</f>
        <v/>
      </c>
      <c r="K85" s="30" t="str">
        <f aca="false">IF(J85="","",IF(J85=0,"Non scaduto",IF(J85&lt;=30,"1-30 giorni",IF(J85&lt;=60,"31-60 giorni",IF(J85&lt;=90,"61-90 giorni","Oltre 90 giorni")))))</f>
        <v/>
      </c>
      <c r="L85" s="29" t="str">
        <f aca="false">IF(I85="Incassata",SUMPRODUCT(MAX((Incassi!$D$5:$D$124=A85)*(Incassi!$A$5:$A$124&lt;=Fatture!$C$4)*Incassi!$A$5:$A$124)),"")</f>
        <v/>
      </c>
      <c r="M85" s="16" t="str">
        <f aca="false">IF(ISNUMBER(L85),L85-B85,"")</f>
        <v/>
      </c>
      <c r="N85" s="14" t="str">
        <f aca="false">IF(ISNUMBER(M85),M85*D85,"")</f>
        <v/>
      </c>
      <c r="O85" s="16" t="str">
        <f aca="false">IF(AND(AND(A85&lt;&gt;"",ISNUMBER(B85),B85&lt;=Fatture!$C$4),C85&lt;&gt;""),IF(COUNTIF($C$9:C85,C85)=1,MAX($O$8:O84)+1,""),"")</f>
        <v/>
      </c>
    </row>
    <row r="86" customFormat="false" ht="15" hidden="false" customHeight="false" outlineLevel="0" collapsed="false">
      <c r="A86" s="25"/>
      <c r="B86" s="26"/>
      <c r="C86" s="25"/>
      <c r="D86" s="27"/>
      <c r="E86" s="28"/>
      <c r="F86" s="29" t="str">
        <f aca="false">IF(ISNUMBER(B86),B86+IF(ISNUMBER(E86),E86,$C$5),"")</f>
        <v/>
      </c>
      <c r="G86" s="14" t="str">
        <f aca="false">IF(AND(A86&lt;&gt;"",ISNUMBER(B86),B86&lt;=Fatture!$C$4),SUMIFS(Incassi!$C$5:$C$124,Incassi!$D$5:$D$124,A86,Incassi!$A$5:$A$124,"&lt;="&amp;Fatture!$C$4),"")</f>
        <v/>
      </c>
      <c r="H86" s="14" t="str">
        <f aca="false">IF(AND(A86&lt;&gt;"",ISNUMBER(B86),B86&lt;=Fatture!$C$4),D86-G86,"")</f>
        <v/>
      </c>
      <c r="I86" s="30" t="str">
        <f aca="false">IF(A86="","",IF(NOT(AND(A86&lt;&gt;"",ISNUMBER(B86),B86&lt;=Fatture!$C$4)),"Dopo la data",IF(H86&lt;0,"Incassata più del dovuto",IF(H86=0,"Incassata",IF(F86&gt;=Fatture!$C$4,"Da incassare",IF(G86&gt;0,"Scaduta, in parte","Scaduta"))))))</f>
        <v/>
      </c>
      <c r="J86" s="16" t="str">
        <f aca="false">IF(AND(ISNUMBER(H86),H86&gt;0),MAX(0,Fatture!$C$4-F86),"")</f>
        <v/>
      </c>
      <c r="K86" s="30" t="str">
        <f aca="false">IF(J86="","",IF(J86=0,"Non scaduto",IF(J86&lt;=30,"1-30 giorni",IF(J86&lt;=60,"31-60 giorni",IF(J86&lt;=90,"61-90 giorni","Oltre 90 giorni")))))</f>
        <v/>
      </c>
      <c r="L86" s="29" t="str">
        <f aca="false">IF(I86="Incassata",SUMPRODUCT(MAX((Incassi!$D$5:$D$124=A86)*(Incassi!$A$5:$A$124&lt;=Fatture!$C$4)*Incassi!$A$5:$A$124)),"")</f>
        <v/>
      </c>
      <c r="M86" s="16" t="str">
        <f aca="false">IF(ISNUMBER(L86),L86-B86,"")</f>
        <v/>
      </c>
      <c r="N86" s="14" t="str">
        <f aca="false">IF(ISNUMBER(M86),M86*D86,"")</f>
        <v/>
      </c>
      <c r="O86" s="16" t="str">
        <f aca="false">IF(AND(AND(A86&lt;&gt;"",ISNUMBER(B86),B86&lt;=Fatture!$C$4),C86&lt;&gt;""),IF(COUNTIF($C$9:C86,C86)=1,MAX($O$8:O85)+1,""),"")</f>
        <v/>
      </c>
    </row>
    <row r="87" customFormat="false" ht="15" hidden="false" customHeight="false" outlineLevel="0" collapsed="false">
      <c r="A87" s="25"/>
      <c r="B87" s="26"/>
      <c r="C87" s="25"/>
      <c r="D87" s="27"/>
      <c r="E87" s="28"/>
      <c r="F87" s="29" t="str">
        <f aca="false">IF(ISNUMBER(B87),B87+IF(ISNUMBER(E87),E87,$C$5),"")</f>
        <v/>
      </c>
      <c r="G87" s="14" t="str">
        <f aca="false">IF(AND(A87&lt;&gt;"",ISNUMBER(B87),B87&lt;=Fatture!$C$4),SUMIFS(Incassi!$C$5:$C$124,Incassi!$D$5:$D$124,A87,Incassi!$A$5:$A$124,"&lt;="&amp;Fatture!$C$4),"")</f>
        <v/>
      </c>
      <c r="H87" s="14" t="str">
        <f aca="false">IF(AND(A87&lt;&gt;"",ISNUMBER(B87),B87&lt;=Fatture!$C$4),D87-G87,"")</f>
        <v/>
      </c>
      <c r="I87" s="30" t="str">
        <f aca="false">IF(A87="","",IF(NOT(AND(A87&lt;&gt;"",ISNUMBER(B87),B87&lt;=Fatture!$C$4)),"Dopo la data",IF(H87&lt;0,"Incassata più del dovuto",IF(H87=0,"Incassata",IF(F87&gt;=Fatture!$C$4,"Da incassare",IF(G87&gt;0,"Scaduta, in parte","Scaduta"))))))</f>
        <v/>
      </c>
      <c r="J87" s="16" t="str">
        <f aca="false">IF(AND(ISNUMBER(H87),H87&gt;0),MAX(0,Fatture!$C$4-F87),"")</f>
        <v/>
      </c>
      <c r="K87" s="30" t="str">
        <f aca="false">IF(J87="","",IF(J87=0,"Non scaduto",IF(J87&lt;=30,"1-30 giorni",IF(J87&lt;=60,"31-60 giorni",IF(J87&lt;=90,"61-90 giorni","Oltre 90 giorni")))))</f>
        <v/>
      </c>
      <c r="L87" s="29" t="str">
        <f aca="false">IF(I87="Incassata",SUMPRODUCT(MAX((Incassi!$D$5:$D$124=A87)*(Incassi!$A$5:$A$124&lt;=Fatture!$C$4)*Incassi!$A$5:$A$124)),"")</f>
        <v/>
      </c>
      <c r="M87" s="16" t="str">
        <f aca="false">IF(ISNUMBER(L87),L87-B87,"")</f>
        <v/>
      </c>
      <c r="N87" s="14" t="str">
        <f aca="false">IF(ISNUMBER(M87),M87*D87,"")</f>
        <v/>
      </c>
      <c r="O87" s="16" t="str">
        <f aca="false">IF(AND(AND(A87&lt;&gt;"",ISNUMBER(B87),B87&lt;=Fatture!$C$4),C87&lt;&gt;""),IF(COUNTIF($C$9:C87,C87)=1,MAX($O$8:O86)+1,""),"")</f>
        <v/>
      </c>
    </row>
    <row r="88" customFormat="false" ht="15" hidden="false" customHeight="false" outlineLevel="0" collapsed="false">
      <c r="A88" s="25"/>
      <c r="B88" s="26"/>
      <c r="C88" s="25"/>
      <c r="D88" s="27"/>
      <c r="E88" s="28"/>
      <c r="F88" s="29" t="str">
        <f aca="false">IF(ISNUMBER(B88),B88+IF(ISNUMBER(E88),E88,$C$5),"")</f>
        <v/>
      </c>
      <c r="G88" s="14" t="str">
        <f aca="false">IF(AND(A88&lt;&gt;"",ISNUMBER(B88),B88&lt;=Fatture!$C$4),SUMIFS(Incassi!$C$5:$C$124,Incassi!$D$5:$D$124,A88,Incassi!$A$5:$A$124,"&lt;="&amp;Fatture!$C$4),"")</f>
        <v/>
      </c>
      <c r="H88" s="14" t="str">
        <f aca="false">IF(AND(A88&lt;&gt;"",ISNUMBER(B88),B88&lt;=Fatture!$C$4),D88-G88,"")</f>
        <v/>
      </c>
      <c r="I88" s="30" t="str">
        <f aca="false">IF(A88="","",IF(NOT(AND(A88&lt;&gt;"",ISNUMBER(B88),B88&lt;=Fatture!$C$4)),"Dopo la data",IF(H88&lt;0,"Incassata più del dovuto",IF(H88=0,"Incassata",IF(F88&gt;=Fatture!$C$4,"Da incassare",IF(G88&gt;0,"Scaduta, in parte","Scaduta"))))))</f>
        <v/>
      </c>
      <c r="J88" s="16" t="str">
        <f aca="false">IF(AND(ISNUMBER(H88),H88&gt;0),MAX(0,Fatture!$C$4-F88),"")</f>
        <v/>
      </c>
      <c r="K88" s="30" t="str">
        <f aca="false">IF(J88="","",IF(J88=0,"Non scaduto",IF(J88&lt;=30,"1-30 giorni",IF(J88&lt;=60,"31-60 giorni",IF(J88&lt;=90,"61-90 giorni","Oltre 90 giorni")))))</f>
        <v/>
      </c>
      <c r="L88" s="29" t="str">
        <f aca="false">IF(I88="Incassata",SUMPRODUCT(MAX((Incassi!$D$5:$D$124=A88)*(Incassi!$A$5:$A$124&lt;=Fatture!$C$4)*Incassi!$A$5:$A$124)),"")</f>
        <v/>
      </c>
      <c r="M88" s="16" t="str">
        <f aca="false">IF(ISNUMBER(L88),L88-B88,"")</f>
        <v/>
      </c>
      <c r="N88" s="14" t="str">
        <f aca="false">IF(ISNUMBER(M88),M88*D88,"")</f>
        <v/>
      </c>
      <c r="O88" s="16" t="str">
        <f aca="false">IF(AND(AND(A88&lt;&gt;"",ISNUMBER(B88),B88&lt;=Fatture!$C$4),C88&lt;&gt;""),IF(COUNTIF($C$9:C88,C88)=1,MAX($O$8:O87)+1,""),"")</f>
        <v/>
      </c>
    </row>
    <row r="90" customFormat="false" ht="15" hidden="false" customHeight="false" outlineLevel="0" collapsed="false">
      <c r="A90" s="2" t="s">
        <v>138</v>
      </c>
    </row>
  </sheetData>
  <mergeCells count="2">
    <mergeCell ref="A4:B4"/>
    <mergeCell ref="A5:B5"/>
  </mergeCells>
  <conditionalFormatting sqref="I9:I88">
    <cfRule type="expression" priority="2" aboveAverage="0" equalAverage="0" bottom="0" percent="0" rank="0" text="" dxfId="1">
      <formula>LEFT(I9,7)="Scaduta"</formula>
    </cfRule>
    <cfRule type="expression" priority="3" aboveAverage="0" equalAverage="0" bottom="0" percent="0" rank="0" text="" dxfId="0">
      <formula>I9="Incassata più del dovuto"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4" min="3" style="0" width="11"/>
    <col collapsed="false" customWidth="true" hidden="false" outlineLevel="0" max="5" min="5" style="0" width="15"/>
    <col collapsed="false" customWidth="true" hidden="false" outlineLevel="0" max="6" min="6" style="0" width="20"/>
  </cols>
  <sheetData>
    <row r="1" customFormat="false" ht="19.7" hidden="false" customHeight="false" outlineLevel="0" collapsed="false">
      <c r="A1" s="1" t="s">
        <v>139</v>
      </c>
    </row>
    <row r="2" customFormat="false" ht="15" hidden="false" customHeight="false" outlineLevel="0" collapsed="false">
      <c r="A2" s="2" t="s">
        <v>140</v>
      </c>
    </row>
    <row r="4" customFormat="false" ht="15" hidden="false" customHeight="false" outlineLevel="0" collapsed="false">
      <c r="A4" s="24" t="s">
        <v>49</v>
      </c>
      <c r="B4" s="23" t="s">
        <v>25</v>
      </c>
      <c r="C4" s="24" t="s">
        <v>50</v>
      </c>
      <c r="D4" s="24" t="s">
        <v>141</v>
      </c>
      <c r="E4" s="24" t="s">
        <v>142</v>
      </c>
    </row>
    <row r="5" customFormat="false" ht="15" hidden="false" customHeight="false" outlineLevel="0" collapsed="false">
      <c r="A5" s="26" t="n">
        <v>46057</v>
      </c>
      <c r="B5" s="25" t="s">
        <v>62</v>
      </c>
      <c r="C5" s="27" t="n">
        <v>12200</v>
      </c>
      <c r="D5" s="31" t="s">
        <v>61</v>
      </c>
      <c r="E5" s="31" t="s">
        <v>143</v>
      </c>
      <c r="F5" s="32" t="str">
        <f aca="false">IF(AND(D5&lt;&gt;"",COUNTIF(Fatture!$A$9:$A$88,D5)=0),"Fattura non trovata","")</f>
        <v/>
      </c>
    </row>
    <row r="6" customFormat="false" ht="15" hidden="false" customHeight="false" outlineLevel="0" collapsed="false">
      <c r="A6" s="26" t="n">
        <v>46060</v>
      </c>
      <c r="B6" s="25" t="s">
        <v>70</v>
      </c>
      <c r="C6" s="27" t="n">
        <v>9760</v>
      </c>
      <c r="D6" s="31" t="s">
        <v>69</v>
      </c>
      <c r="E6" s="31" t="s">
        <v>143</v>
      </c>
      <c r="F6" s="32" t="str">
        <f aca="false">IF(AND(D6&lt;&gt;"",COUNTIF(Fatture!$A$9:$A$88,D6)=0),"Fattura non trovata","")</f>
        <v/>
      </c>
    </row>
    <row r="7" customFormat="false" ht="15" hidden="false" customHeight="false" outlineLevel="0" collapsed="false">
      <c r="A7" s="26" t="n">
        <v>46064</v>
      </c>
      <c r="B7" s="25" t="s">
        <v>74</v>
      </c>
      <c r="C7" s="27" t="n">
        <v>3660</v>
      </c>
      <c r="D7" s="31" t="s">
        <v>73</v>
      </c>
      <c r="E7" s="31" t="s">
        <v>143</v>
      </c>
      <c r="F7" s="32" t="str">
        <f aca="false">IF(AND(D7&lt;&gt;"",COUNTIF(Fatture!$A$9:$A$88,D7)=0),"Fattura non trovata","")</f>
        <v/>
      </c>
    </row>
    <row r="8" customFormat="false" ht="15" hidden="false" customHeight="false" outlineLevel="0" collapsed="false">
      <c r="A8" s="26" t="n">
        <v>46072</v>
      </c>
      <c r="B8" s="25" t="s">
        <v>68</v>
      </c>
      <c r="C8" s="27" t="n">
        <v>2440</v>
      </c>
      <c r="D8" s="31" t="s">
        <v>67</v>
      </c>
      <c r="E8" s="31" t="s">
        <v>143</v>
      </c>
      <c r="F8" s="32" t="str">
        <f aca="false">IF(AND(D8&lt;&gt;"",COUNTIF(Fatture!$A$9:$A$88,D8)=0),"Fattura non trovata","")</f>
        <v/>
      </c>
    </row>
    <row r="9" customFormat="false" ht="15" hidden="false" customHeight="false" outlineLevel="0" collapsed="false">
      <c r="A9" s="26" t="n">
        <v>46087</v>
      </c>
      <c r="B9" s="25" t="s">
        <v>72</v>
      </c>
      <c r="C9" s="27" t="n">
        <v>6100</v>
      </c>
      <c r="D9" s="31" t="s">
        <v>71</v>
      </c>
      <c r="E9" s="31" t="s">
        <v>143</v>
      </c>
      <c r="F9" s="32" t="str">
        <f aca="false">IF(AND(D9&lt;&gt;"",COUNTIF(Fatture!$A$9:$A$88,D9)=0),"Fattura non trovata","")</f>
        <v/>
      </c>
    </row>
    <row r="10" customFormat="false" ht="15" hidden="false" customHeight="false" outlineLevel="0" collapsed="false">
      <c r="A10" s="26" t="n">
        <v>46088</v>
      </c>
      <c r="B10" s="25" t="s">
        <v>62</v>
      </c>
      <c r="C10" s="27" t="n">
        <v>12200</v>
      </c>
      <c r="D10" s="31" t="s">
        <v>77</v>
      </c>
      <c r="E10" s="31" t="s">
        <v>143</v>
      </c>
      <c r="F10" s="32" t="str">
        <f aca="false">IF(AND(D10&lt;&gt;"",COUNTIF(Fatture!$A$9:$A$88,D10)=0),"Fattura non trovata","")</f>
        <v/>
      </c>
    </row>
    <row r="11" customFormat="false" ht="15" hidden="false" customHeight="false" outlineLevel="0" collapsed="false">
      <c r="A11" s="26" t="n">
        <v>46091</v>
      </c>
      <c r="B11" s="25" t="s">
        <v>70</v>
      </c>
      <c r="C11" s="27" t="n">
        <v>9760</v>
      </c>
      <c r="D11" s="31" t="s">
        <v>81</v>
      </c>
      <c r="E11" s="31" t="s">
        <v>143</v>
      </c>
      <c r="F11" s="32" t="str">
        <f aca="false">IF(AND(D11&lt;&gt;"",COUNTIF(Fatture!$A$9:$A$88,D11)=0),"Fattura non trovata","")</f>
        <v/>
      </c>
    </row>
    <row r="12" customFormat="false" ht="15" hidden="false" customHeight="false" outlineLevel="0" collapsed="false">
      <c r="A12" s="26" t="n">
        <v>46092</v>
      </c>
      <c r="B12" s="25" t="s">
        <v>64</v>
      </c>
      <c r="C12" s="27" t="n">
        <v>8540</v>
      </c>
      <c r="D12" s="31" t="s">
        <v>63</v>
      </c>
      <c r="E12" s="31" t="s">
        <v>143</v>
      </c>
      <c r="F12" s="32" t="str">
        <f aca="false">IF(AND(D12&lt;&gt;"",COUNTIF(Fatture!$A$9:$A$88,D12)=0),"Fattura non trovata","")</f>
        <v/>
      </c>
    </row>
    <row r="13" customFormat="false" ht="15" hidden="false" customHeight="false" outlineLevel="0" collapsed="false">
      <c r="A13" s="26" t="n">
        <v>46095</v>
      </c>
      <c r="B13" s="25" t="s">
        <v>74</v>
      </c>
      <c r="C13" s="27" t="n">
        <v>3660</v>
      </c>
      <c r="D13" s="31" t="s">
        <v>83</v>
      </c>
      <c r="E13" s="31" t="s">
        <v>143</v>
      </c>
      <c r="F13" s="32" t="str">
        <f aca="false">IF(AND(D13&lt;&gt;"",COUNTIF(Fatture!$A$9:$A$88,D13)=0),"Fattura non trovata","")</f>
        <v/>
      </c>
    </row>
    <row r="14" customFormat="false" ht="15" hidden="false" customHeight="false" outlineLevel="0" collapsed="false">
      <c r="A14" s="26" t="n">
        <v>46102</v>
      </c>
      <c r="B14" s="25" t="s">
        <v>68</v>
      </c>
      <c r="C14" s="27" t="n">
        <v>2440</v>
      </c>
      <c r="D14" s="31" t="s">
        <v>67</v>
      </c>
      <c r="E14" s="31" t="s">
        <v>143</v>
      </c>
      <c r="F14" s="32" t="str">
        <f aca="false">IF(AND(D14&lt;&gt;"",COUNTIF(Fatture!$A$9:$A$88,D14)=0),"Fattura non trovata","")</f>
        <v/>
      </c>
    </row>
    <row r="15" customFormat="false" ht="15" hidden="false" customHeight="false" outlineLevel="0" collapsed="false">
      <c r="A15" s="26" t="n">
        <v>46103</v>
      </c>
      <c r="B15" s="25" t="s">
        <v>68</v>
      </c>
      <c r="C15" s="27" t="n">
        <v>2440</v>
      </c>
      <c r="D15" s="31" t="s">
        <v>80</v>
      </c>
      <c r="E15" s="31" t="s">
        <v>143</v>
      </c>
      <c r="F15" s="32" t="str">
        <f aca="false">IF(AND(D15&lt;&gt;"",COUNTIF(Fatture!$A$9:$A$88,D15)=0),"Fattura non trovata","")</f>
        <v/>
      </c>
    </row>
    <row r="16" customFormat="false" ht="15" hidden="false" customHeight="false" outlineLevel="0" collapsed="false">
      <c r="A16" s="26" t="n">
        <v>46112</v>
      </c>
      <c r="B16" s="25" t="s">
        <v>66</v>
      </c>
      <c r="C16" s="27" t="n">
        <v>15860</v>
      </c>
      <c r="D16" s="31" t="s">
        <v>65</v>
      </c>
      <c r="E16" s="31" t="s">
        <v>143</v>
      </c>
      <c r="F16" s="32" t="str">
        <f aca="false">IF(AND(D16&lt;&gt;"",COUNTIF(Fatture!$A$9:$A$88,D16)=0),"Fattura non trovata","")</f>
        <v/>
      </c>
    </row>
    <row r="17" customFormat="false" ht="15" hidden="false" customHeight="false" outlineLevel="0" collapsed="false">
      <c r="A17" s="26" t="n">
        <v>46116</v>
      </c>
      <c r="B17" s="25" t="s">
        <v>62</v>
      </c>
      <c r="C17" s="27" t="n">
        <v>12200</v>
      </c>
      <c r="D17" s="31" t="s">
        <v>85</v>
      </c>
      <c r="E17" s="31" t="s">
        <v>143</v>
      </c>
      <c r="F17" s="32" t="str">
        <f aca="false">IF(AND(D17&lt;&gt;"",COUNTIF(Fatture!$A$9:$A$88,D17)=0),"Fattura non trovata","")</f>
        <v/>
      </c>
    </row>
    <row r="18" customFormat="false" ht="15" hidden="false" customHeight="false" outlineLevel="0" collapsed="false">
      <c r="A18" s="26" t="n">
        <v>46118</v>
      </c>
      <c r="B18" s="25" t="s">
        <v>72</v>
      </c>
      <c r="C18" s="27" t="n">
        <v>6100</v>
      </c>
      <c r="D18" s="31" t="s">
        <v>82</v>
      </c>
      <c r="E18" s="31" t="s">
        <v>143</v>
      </c>
      <c r="F18" s="32" t="str">
        <f aca="false">IF(AND(D18&lt;&gt;"",COUNTIF(Fatture!$A$9:$A$88,D18)=0),"Fattura non trovata","")</f>
        <v/>
      </c>
    </row>
    <row r="19" customFormat="false" ht="15" hidden="false" customHeight="false" outlineLevel="0" collapsed="false">
      <c r="A19" s="26" t="n">
        <v>46123</v>
      </c>
      <c r="B19" s="25" t="s">
        <v>64</v>
      </c>
      <c r="C19" s="27" t="n">
        <v>8540</v>
      </c>
      <c r="D19" s="31" t="s">
        <v>78</v>
      </c>
      <c r="E19" s="31" t="s">
        <v>143</v>
      </c>
      <c r="F19" s="32" t="str">
        <f aca="false">IF(AND(D19&lt;&gt;"",COUNTIF(Fatture!$A$9:$A$88,D19)=0),"Fattura non trovata","")</f>
        <v/>
      </c>
    </row>
    <row r="20" customFormat="false" ht="15" hidden="false" customHeight="false" outlineLevel="0" collapsed="false">
      <c r="A20" s="26" t="n">
        <v>46123</v>
      </c>
      <c r="B20" s="25" t="s">
        <v>74</v>
      </c>
      <c r="C20" s="27" t="n">
        <v>3660</v>
      </c>
      <c r="D20" s="31" t="s">
        <v>91</v>
      </c>
      <c r="E20" s="31" t="s">
        <v>143</v>
      </c>
      <c r="F20" s="32" t="str">
        <f aca="false">IF(AND(D20&lt;&gt;"",COUNTIF(Fatture!$A$9:$A$88,D20)=0),"Fattura non trovata","")</f>
        <v/>
      </c>
    </row>
    <row r="21" customFormat="false" ht="15" hidden="false" customHeight="false" outlineLevel="0" collapsed="false">
      <c r="A21" s="26" t="n">
        <v>46130</v>
      </c>
      <c r="B21" s="25" t="s">
        <v>74</v>
      </c>
      <c r="C21" s="27" t="n">
        <v>1220</v>
      </c>
      <c r="D21" s="31" t="s">
        <v>99</v>
      </c>
      <c r="E21" s="31" t="s">
        <v>144</v>
      </c>
      <c r="F21" s="32" t="str">
        <f aca="false">IF(AND(D21&lt;&gt;"",COUNTIF(Fatture!$A$9:$A$88,D21)=0),"Fattura non trovata","")</f>
        <v/>
      </c>
    </row>
    <row r="22" customFormat="false" ht="15" hidden="false" customHeight="false" outlineLevel="0" collapsed="false">
      <c r="A22" s="26" t="n">
        <v>46131</v>
      </c>
      <c r="B22" s="25" t="s">
        <v>68</v>
      </c>
      <c r="C22" s="27" t="n">
        <v>2440</v>
      </c>
      <c r="D22" s="31" t="s">
        <v>88</v>
      </c>
      <c r="E22" s="31" t="s">
        <v>143</v>
      </c>
      <c r="F22" s="32" t="str">
        <f aca="false">IF(AND(D22&lt;&gt;"",COUNTIF(Fatture!$A$9:$A$88,D22)=0),"Fattura non trovata","")</f>
        <v/>
      </c>
    </row>
    <row r="23" customFormat="false" ht="15" hidden="false" customHeight="false" outlineLevel="0" collapsed="false">
      <c r="A23" s="26" t="n">
        <v>46133</v>
      </c>
      <c r="B23" s="25" t="s">
        <v>68</v>
      </c>
      <c r="C23" s="27" t="n">
        <v>2440</v>
      </c>
      <c r="D23" s="31" t="s">
        <v>80</v>
      </c>
      <c r="E23" s="31" t="s">
        <v>143</v>
      </c>
      <c r="F23" s="32" t="str">
        <f aca="false">IF(AND(D23&lt;&gt;"",COUNTIF(Fatture!$A$9:$A$88,D23)=0),"Fattura non trovata","")</f>
        <v/>
      </c>
    </row>
    <row r="24" customFormat="false" ht="15" hidden="false" customHeight="false" outlineLevel="0" collapsed="false">
      <c r="A24" s="26" t="n">
        <v>46140</v>
      </c>
      <c r="B24" s="25" t="s">
        <v>76</v>
      </c>
      <c r="C24" s="27" t="n">
        <v>7320</v>
      </c>
      <c r="D24" s="31" t="s">
        <v>75</v>
      </c>
      <c r="E24" s="31" t="s">
        <v>143</v>
      </c>
      <c r="F24" s="32" t="str">
        <f aca="false">IF(AND(D24&lt;&gt;"",COUNTIF(Fatture!$A$9:$A$88,D24)=0),"Fattura non trovata","")</f>
        <v/>
      </c>
    </row>
    <row r="25" customFormat="false" ht="15" hidden="false" customHeight="false" outlineLevel="0" collapsed="false">
      <c r="A25" s="26" t="n">
        <v>46143</v>
      </c>
      <c r="B25" s="25" t="s">
        <v>66</v>
      </c>
      <c r="C25" s="27" t="n">
        <v>15860</v>
      </c>
      <c r="D25" s="31" t="s">
        <v>79</v>
      </c>
      <c r="E25" s="31" t="s">
        <v>143</v>
      </c>
      <c r="F25" s="32" t="str">
        <f aca="false">IF(AND(D25&lt;&gt;"",COUNTIF(Fatture!$A$9:$A$88,D25)=0),"Fattura non trovata","")</f>
        <v/>
      </c>
    </row>
    <row r="26" customFormat="false" ht="15" hidden="false" customHeight="false" outlineLevel="0" collapsed="false">
      <c r="A26" s="26" t="n">
        <v>46146</v>
      </c>
      <c r="B26" s="25" t="s">
        <v>72</v>
      </c>
      <c r="C26" s="27" t="n">
        <v>6100</v>
      </c>
      <c r="D26" s="31" t="s">
        <v>90</v>
      </c>
      <c r="E26" s="31" t="s">
        <v>143</v>
      </c>
      <c r="F26" s="32" t="str">
        <f aca="false">IF(AND(D26&lt;&gt;"",COUNTIF(Fatture!$A$9:$A$88,D26)=0),"Fattura non trovata","")</f>
        <v/>
      </c>
    </row>
    <row r="27" customFormat="false" ht="15" hidden="false" customHeight="false" outlineLevel="0" collapsed="false">
      <c r="A27" s="26" t="n">
        <v>46147</v>
      </c>
      <c r="B27" s="25" t="s">
        <v>62</v>
      </c>
      <c r="C27" s="27" t="n">
        <v>12200</v>
      </c>
      <c r="D27" s="31" t="s">
        <v>93</v>
      </c>
      <c r="E27" s="31" t="s">
        <v>143</v>
      </c>
      <c r="F27" s="32" t="str">
        <f aca="false">IF(AND(D27&lt;&gt;"",COUNTIF(Fatture!$A$9:$A$88,D27)=0),"Fattura non trovata","")</f>
        <v/>
      </c>
    </row>
    <row r="28" customFormat="false" ht="15" hidden="false" customHeight="false" outlineLevel="0" collapsed="false">
      <c r="A28" s="26" t="n">
        <v>46151</v>
      </c>
      <c r="B28" s="25" t="s">
        <v>64</v>
      </c>
      <c r="C28" s="27" t="n">
        <v>8540</v>
      </c>
      <c r="D28" s="31" t="s">
        <v>86</v>
      </c>
      <c r="E28" s="31" t="s">
        <v>143</v>
      </c>
      <c r="F28" s="32" t="str">
        <f aca="false">IF(AND(D28&lt;&gt;"",COUNTIF(Fatture!$A$9:$A$88,D28)=0),"Fattura non trovata","")</f>
        <v/>
      </c>
    </row>
    <row r="29" customFormat="false" ht="15" hidden="false" customHeight="false" outlineLevel="0" collapsed="false">
      <c r="A29" s="26" t="n">
        <v>46154</v>
      </c>
      <c r="B29" s="25" t="s">
        <v>74</v>
      </c>
      <c r="C29" s="27" t="n">
        <v>2440</v>
      </c>
      <c r="D29" s="31" t="s">
        <v>99</v>
      </c>
      <c r="E29" s="31" t="s">
        <v>143</v>
      </c>
      <c r="F29" s="32" t="str">
        <f aca="false">IF(AND(D29&lt;&gt;"",COUNTIF(Fatture!$A$9:$A$88,D29)=0),"Fattura non trovata","")</f>
        <v/>
      </c>
    </row>
    <row r="30" customFormat="false" ht="15" hidden="false" customHeight="false" outlineLevel="0" collapsed="false">
      <c r="A30" s="26" t="n">
        <v>46161</v>
      </c>
      <c r="B30" s="25" t="s">
        <v>68</v>
      </c>
      <c r="C30" s="27" t="n">
        <v>2440</v>
      </c>
      <c r="D30" s="31" t="s">
        <v>88</v>
      </c>
      <c r="E30" s="31" t="s">
        <v>143</v>
      </c>
      <c r="F30" s="32" t="str">
        <f aca="false">IF(AND(D30&lt;&gt;"",COUNTIF(Fatture!$A$9:$A$88,D30)=0),"Fattura non trovata","")</f>
        <v/>
      </c>
    </row>
    <row r="31" customFormat="false" ht="15" hidden="false" customHeight="false" outlineLevel="0" collapsed="false">
      <c r="A31" s="26" t="n">
        <v>46162</v>
      </c>
      <c r="B31" s="25" t="s">
        <v>68</v>
      </c>
      <c r="C31" s="27" t="n">
        <v>2440</v>
      </c>
      <c r="D31" s="31" t="s">
        <v>96</v>
      </c>
      <c r="E31" s="31" t="s">
        <v>143</v>
      </c>
      <c r="F31" s="32" t="str">
        <f aca="false">IF(AND(D31&lt;&gt;"",COUNTIF(Fatture!$A$9:$A$88,D31)=0),"Fattura non trovata","")</f>
        <v/>
      </c>
    </row>
    <row r="32" customFormat="false" ht="15" hidden="false" customHeight="false" outlineLevel="0" collapsed="false">
      <c r="A32" s="26" t="n">
        <v>46171</v>
      </c>
      <c r="B32" s="25" t="s">
        <v>76</v>
      </c>
      <c r="C32" s="27" t="n">
        <v>7320</v>
      </c>
      <c r="D32" s="31" t="s">
        <v>84</v>
      </c>
      <c r="E32" s="31" t="s">
        <v>143</v>
      </c>
      <c r="F32" s="32" t="str">
        <f aca="false">IF(AND(D32&lt;&gt;"",COUNTIF(Fatture!$A$9:$A$88,D32)=0),"Fattura non trovata","")</f>
        <v/>
      </c>
    </row>
    <row r="33" customFormat="false" ht="15" hidden="false" customHeight="false" outlineLevel="0" collapsed="false">
      <c r="A33" s="26" t="n">
        <v>46171</v>
      </c>
      <c r="B33" s="25" t="s">
        <v>66</v>
      </c>
      <c r="C33" s="27" t="n">
        <v>15860</v>
      </c>
      <c r="D33" s="31" t="s">
        <v>87</v>
      </c>
      <c r="E33" s="31" t="s">
        <v>143</v>
      </c>
      <c r="F33" s="32" t="str">
        <f aca="false">IF(AND(D33&lt;&gt;"",COUNTIF(Fatture!$A$9:$A$88,D33)=0),"Fattura non trovata","")</f>
        <v/>
      </c>
    </row>
    <row r="34" customFormat="false" ht="15" hidden="false" customHeight="false" outlineLevel="0" collapsed="false">
      <c r="A34" s="26" t="n">
        <v>46177</v>
      </c>
      <c r="B34" s="25" t="s">
        <v>72</v>
      </c>
      <c r="C34" s="27" t="n">
        <v>6100</v>
      </c>
      <c r="D34" s="31" t="s">
        <v>98</v>
      </c>
      <c r="E34" s="31" t="s">
        <v>143</v>
      </c>
      <c r="F34" s="32" t="str">
        <f aca="false">IF(AND(D34&lt;&gt;"",COUNTIF(Fatture!$A$9:$A$88,D34)=0),"Fattura non trovata","")</f>
        <v/>
      </c>
    </row>
    <row r="35" customFormat="false" ht="15" hidden="false" customHeight="false" outlineLevel="0" collapsed="false">
      <c r="A35" s="26" t="n">
        <v>46177</v>
      </c>
      <c r="B35" s="25" t="s">
        <v>62</v>
      </c>
      <c r="C35" s="27" t="n">
        <v>12200</v>
      </c>
      <c r="D35" s="31" t="s">
        <v>101</v>
      </c>
      <c r="E35" s="31" t="s">
        <v>143</v>
      </c>
      <c r="F35" s="32" t="str">
        <f aca="false">IF(AND(D35&lt;&gt;"",COUNTIF(Fatture!$A$9:$A$88,D35)=0),"Fattura non trovata","")</f>
        <v/>
      </c>
    </row>
    <row r="36" customFormat="false" ht="15" hidden="false" customHeight="false" outlineLevel="0" collapsed="false">
      <c r="A36" s="26" t="n">
        <v>46182</v>
      </c>
      <c r="B36" s="25" t="s">
        <v>64</v>
      </c>
      <c r="C36" s="27" t="n">
        <v>8540</v>
      </c>
      <c r="D36" s="31" t="s">
        <v>94</v>
      </c>
      <c r="E36" s="31" t="s">
        <v>143</v>
      </c>
      <c r="F36" s="32" t="str">
        <f aca="false">IF(AND(D36&lt;&gt;"",COUNTIF(Fatture!$A$9:$A$88,D36)=0),"Fattura non trovata","")</f>
        <v/>
      </c>
    </row>
    <row r="37" customFormat="false" ht="15" hidden="false" customHeight="false" outlineLevel="0" collapsed="false">
      <c r="A37" s="26" t="n">
        <v>46184</v>
      </c>
      <c r="B37" s="25" t="s">
        <v>74</v>
      </c>
      <c r="C37" s="27" t="n">
        <v>3660</v>
      </c>
      <c r="D37" s="31" t="s">
        <v>107</v>
      </c>
      <c r="E37" s="31" t="s">
        <v>143</v>
      </c>
      <c r="F37" s="32" t="str">
        <f aca="false">IF(AND(D37&lt;&gt;"",COUNTIF(Fatture!$A$9:$A$88,D37)=0),"Fattura non trovata","")</f>
        <v/>
      </c>
    </row>
    <row r="38" customFormat="false" ht="15" hidden="false" customHeight="false" outlineLevel="0" collapsed="false">
      <c r="A38" s="26" t="n">
        <v>46192</v>
      </c>
      <c r="B38" s="25" t="s">
        <v>68</v>
      </c>
      <c r="C38" s="27" t="n">
        <v>2440</v>
      </c>
      <c r="D38" s="31" t="s">
        <v>96</v>
      </c>
      <c r="E38" s="31" t="s">
        <v>143</v>
      </c>
      <c r="F38" s="32" t="str">
        <f aca="false">IF(AND(D38&lt;&gt;"",COUNTIF(Fatture!$A$9:$A$88,D38)=0),"Fattura non trovata","")</f>
        <v/>
      </c>
    </row>
    <row r="39" customFormat="false" ht="15" hidden="false" customHeight="false" outlineLevel="0" collapsed="false">
      <c r="A39" s="26" t="n">
        <v>46192</v>
      </c>
      <c r="B39" s="25" t="s">
        <v>68</v>
      </c>
      <c r="C39" s="27" t="n">
        <v>2440</v>
      </c>
      <c r="D39" s="31" t="s">
        <v>104</v>
      </c>
      <c r="E39" s="31" t="s">
        <v>143</v>
      </c>
      <c r="F39" s="32" t="str">
        <f aca="false">IF(AND(D39&lt;&gt;"",COUNTIF(Fatture!$A$9:$A$88,D39)=0),"Fattura non trovata","")</f>
        <v/>
      </c>
    </row>
    <row r="40" customFormat="false" ht="15" hidden="false" customHeight="false" outlineLevel="0" collapsed="false">
      <c r="A40" s="26" t="n">
        <v>46199</v>
      </c>
      <c r="B40" s="25" t="s">
        <v>76</v>
      </c>
      <c r="C40" s="27" t="n">
        <v>7320</v>
      </c>
      <c r="D40" s="31" t="s">
        <v>92</v>
      </c>
      <c r="E40" s="31" t="s">
        <v>143</v>
      </c>
      <c r="F40" s="32" t="str">
        <f aca="false">IF(AND(D40&lt;&gt;"",COUNTIF(Fatture!$A$9:$A$88,D40)=0),"Fattura non trovata","")</f>
        <v/>
      </c>
    </row>
    <row r="41" customFormat="false" ht="15" hidden="false" customHeight="false" outlineLevel="0" collapsed="false">
      <c r="A41" s="26" t="n">
        <v>46202</v>
      </c>
      <c r="B41" s="25" t="s">
        <v>66</v>
      </c>
      <c r="C41" s="27" t="n">
        <v>15860</v>
      </c>
      <c r="D41" s="31" t="s">
        <v>95</v>
      </c>
      <c r="E41" s="31" t="s">
        <v>143</v>
      </c>
      <c r="F41" s="32" t="str">
        <f aca="false">IF(AND(D41&lt;&gt;"",COUNTIF(Fatture!$A$9:$A$88,D41)=0),"Fattura non trovata","")</f>
        <v/>
      </c>
    </row>
    <row r="42" customFormat="false" ht="15" hidden="false" customHeight="false" outlineLevel="0" collapsed="false">
      <c r="A42" s="26" t="n">
        <v>46207</v>
      </c>
      <c r="B42" s="25" t="s">
        <v>72</v>
      </c>
      <c r="C42" s="27" t="n">
        <v>6100</v>
      </c>
      <c r="D42" s="31" t="s">
        <v>106</v>
      </c>
      <c r="E42" s="31" t="s">
        <v>143</v>
      </c>
      <c r="F42" s="32" t="str">
        <f aca="false">IF(AND(D42&lt;&gt;"",COUNTIF(Fatture!$A$9:$A$88,D42)=0),"Fattura non trovata","")</f>
        <v/>
      </c>
    </row>
    <row r="43" customFormat="false" ht="15" hidden="false" customHeight="false" outlineLevel="0" collapsed="false">
      <c r="A43" s="26" t="n">
        <v>46208</v>
      </c>
      <c r="B43" s="25" t="s">
        <v>62</v>
      </c>
      <c r="C43" s="27" t="n">
        <v>12200</v>
      </c>
      <c r="D43" s="31" t="s">
        <v>109</v>
      </c>
      <c r="E43" s="31" t="s">
        <v>143</v>
      </c>
      <c r="F43" s="32" t="str">
        <f aca="false">IF(AND(D43&lt;&gt;"",COUNTIF(Fatture!$A$9:$A$88,D43)=0),"Fattura non trovata","")</f>
        <v/>
      </c>
    </row>
    <row r="44" customFormat="false" ht="15" hidden="false" customHeight="false" outlineLevel="0" collapsed="false">
      <c r="A44" s="26" t="n">
        <v>46212</v>
      </c>
      <c r="B44" s="25" t="s">
        <v>64</v>
      </c>
      <c r="C44" s="27" t="n">
        <v>8540</v>
      </c>
      <c r="D44" s="31" t="s">
        <v>102</v>
      </c>
      <c r="E44" s="31" t="s">
        <v>143</v>
      </c>
      <c r="F44" s="32" t="str">
        <f aca="false">IF(AND(D44&lt;&gt;"",COUNTIF(Fatture!$A$9:$A$88,D44)=0),"Fattura non trovata","")</f>
        <v/>
      </c>
    </row>
    <row r="45" customFormat="false" ht="15" hidden="false" customHeight="false" outlineLevel="0" collapsed="false">
      <c r="A45" s="26" t="n">
        <v>46215</v>
      </c>
      <c r="B45" s="25" t="s">
        <v>74</v>
      </c>
      <c r="C45" s="27" t="n">
        <v>3660</v>
      </c>
      <c r="D45" s="31" t="s">
        <v>115</v>
      </c>
      <c r="E45" s="31" t="s">
        <v>143</v>
      </c>
      <c r="F45" s="32" t="str">
        <f aca="false">IF(AND(D45&lt;&gt;"",COUNTIF(Fatture!$A$9:$A$88,D45)=0),"Fattura non trovata","")</f>
        <v/>
      </c>
    </row>
    <row r="46" customFormat="false" ht="15" hidden="false" customHeight="false" outlineLevel="0" collapsed="false">
      <c r="A46" s="26" t="n">
        <v>46222</v>
      </c>
      <c r="B46" s="25" t="s">
        <v>68</v>
      </c>
      <c r="C46" s="27" t="n">
        <v>2440</v>
      </c>
      <c r="D46" s="31" t="s">
        <v>104</v>
      </c>
      <c r="E46" s="31" t="s">
        <v>143</v>
      </c>
      <c r="F46" s="32" t="str">
        <f aca="false">IF(AND(D46&lt;&gt;"",COUNTIF(Fatture!$A$9:$A$88,D46)=0),"Fattura non trovata","")</f>
        <v/>
      </c>
    </row>
    <row r="47" customFormat="false" ht="15" hidden="false" customHeight="false" outlineLevel="0" collapsed="false">
      <c r="A47" s="26" t="n">
        <v>46223</v>
      </c>
      <c r="B47" s="25" t="s">
        <v>68</v>
      </c>
      <c r="C47" s="27" t="n">
        <v>2440</v>
      </c>
      <c r="D47" s="31" t="s">
        <v>112</v>
      </c>
      <c r="E47" s="31" t="s">
        <v>143</v>
      </c>
      <c r="F47" s="32" t="str">
        <f aca="false">IF(AND(D47&lt;&gt;"",COUNTIF(Fatture!$A$9:$A$88,D47)=0),"Fattura non trovata","")</f>
        <v/>
      </c>
    </row>
    <row r="48" customFormat="false" ht="15" hidden="false" customHeight="false" outlineLevel="0" collapsed="false">
      <c r="A48" s="26" t="n">
        <v>46230</v>
      </c>
      <c r="B48" s="25" t="s">
        <v>76</v>
      </c>
      <c r="C48" s="27" t="n">
        <v>7320</v>
      </c>
      <c r="D48" s="31" t="s">
        <v>100</v>
      </c>
      <c r="E48" s="31" t="s">
        <v>143</v>
      </c>
      <c r="F48" s="32" t="str">
        <f aca="false">IF(AND(D48&lt;&gt;"",COUNTIF(Fatture!$A$9:$A$88,D48)=0),"Fattura non trovata","")</f>
        <v/>
      </c>
    </row>
    <row r="49" customFormat="false" ht="15" hidden="false" customHeight="false" outlineLevel="0" collapsed="false">
      <c r="A49" s="26" t="n">
        <v>46232</v>
      </c>
      <c r="B49" s="25" t="s">
        <v>66</v>
      </c>
      <c r="C49" s="27" t="n">
        <v>15860</v>
      </c>
      <c r="D49" s="31" t="s">
        <v>103</v>
      </c>
      <c r="E49" s="31" t="s">
        <v>143</v>
      </c>
      <c r="F49" s="32" t="str">
        <f aca="false">IF(AND(D49&lt;&gt;"",COUNTIF(Fatture!$A$9:$A$88,D49)=0),"Fattura non trovata","")</f>
        <v/>
      </c>
    </row>
    <row r="50" customFormat="false" ht="15" hidden="false" customHeight="false" outlineLevel="0" collapsed="false">
      <c r="A50" s="26" t="n">
        <v>46238</v>
      </c>
      <c r="B50" s="25" t="s">
        <v>72</v>
      </c>
      <c r="C50" s="27" t="n">
        <v>6100</v>
      </c>
      <c r="D50" s="31" t="s">
        <v>114</v>
      </c>
      <c r="E50" s="31" t="s">
        <v>143</v>
      </c>
      <c r="F50" s="32" t="str">
        <f aca="false">IF(AND(D50&lt;&gt;"",COUNTIF(Fatture!$A$9:$A$88,D50)=0),"Fattura non trovata","")</f>
        <v/>
      </c>
    </row>
    <row r="51" customFormat="false" ht="15" hidden="false" customHeight="false" outlineLevel="0" collapsed="false">
      <c r="A51" s="26" t="n">
        <v>46238</v>
      </c>
      <c r="B51" s="25" t="s">
        <v>62</v>
      </c>
      <c r="C51" s="27" t="n">
        <v>12200</v>
      </c>
      <c r="D51" s="31" t="s">
        <v>117</v>
      </c>
      <c r="E51" s="31" t="s">
        <v>143</v>
      </c>
      <c r="F51" s="32" t="str">
        <f aca="false">IF(AND(D51&lt;&gt;"",COUNTIF(Fatture!$A$9:$A$88,D51)=0),"Fattura non trovata","")</f>
        <v/>
      </c>
    </row>
    <row r="52" customFormat="false" ht="15" hidden="false" customHeight="false" outlineLevel="0" collapsed="false">
      <c r="A52" s="26" t="n">
        <v>46243</v>
      </c>
      <c r="B52" s="25" t="s">
        <v>64</v>
      </c>
      <c r="C52" s="27" t="n">
        <v>8540</v>
      </c>
      <c r="D52" s="31" t="s">
        <v>110</v>
      </c>
      <c r="E52" s="31" t="s">
        <v>143</v>
      </c>
      <c r="F52" s="32" t="str">
        <f aca="false">IF(AND(D52&lt;&gt;"",COUNTIF(Fatture!$A$9:$A$88,D52)=0),"Fattura non trovata","")</f>
        <v/>
      </c>
    </row>
    <row r="53" customFormat="false" ht="15" hidden="false" customHeight="false" outlineLevel="0" collapsed="false">
      <c r="A53" s="26" t="n">
        <v>46245</v>
      </c>
      <c r="B53" s="25" t="s">
        <v>74</v>
      </c>
      <c r="C53" s="27" t="n">
        <v>3660</v>
      </c>
      <c r="D53" s="31" t="s">
        <v>122</v>
      </c>
      <c r="E53" s="31" t="s">
        <v>143</v>
      </c>
      <c r="F53" s="32" t="str">
        <f aca="false">IF(AND(D53&lt;&gt;"",COUNTIF(Fatture!$A$9:$A$88,D53)=0),"Fattura non trovata","")</f>
        <v/>
      </c>
    </row>
    <row r="54" customFormat="false" ht="15" hidden="false" customHeight="false" outlineLevel="0" collapsed="false">
      <c r="A54" s="26" t="n">
        <v>46253</v>
      </c>
      <c r="B54" s="25" t="s">
        <v>68</v>
      </c>
      <c r="C54" s="27" t="n">
        <v>2440</v>
      </c>
      <c r="D54" s="31" t="s">
        <v>112</v>
      </c>
      <c r="E54" s="31" t="s">
        <v>143</v>
      </c>
      <c r="F54" s="32" t="str">
        <f aca="false">IF(AND(D54&lt;&gt;"",COUNTIF(Fatture!$A$9:$A$88,D54)=0),"Fattura non trovata","")</f>
        <v/>
      </c>
    </row>
    <row r="55" customFormat="false" ht="15" hidden="false" customHeight="false" outlineLevel="0" collapsed="false">
      <c r="A55" s="26" t="n">
        <v>46253</v>
      </c>
      <c r="B55" s="25" t="s">
        <v>68</v>
      </c>
      <c r="C55" s="27" t="n">
        <v>2440</v>
      </c>
      <c r="D55" s="31" t="s">
        <v>120</v>
      </c>
      <c r="E55" s="31" t="s">
        <v>143</v>
      </c>
      <c r="F55" s="32" t="str">
        <f aca="false">IF(AND(D55&lt;&gt;"",COUNTIF(Fatture!$A$9:$A$88,D55)=0),"Fattura non trovata","")</f>
        <v/>
      </c>
    </row>
    <row r="56" customFormat="false" ht="15" hidden="false" customHeight="false" outlineLevel="0" collapsed="false">
      <c r="A56" s="26" t="n">
        <v>46260</v>
      </c>
      <c r="B56" s="25" t="s">
        <v>76</v>
      </c>
      <c r="C56" s="27" t="n">
        <v>7320</v>
      </c>
      <c r="D56" s="31" t="s">
        <v>108</v>
      </c>
      <c r="E56" s="31" t="s">
        <v>143</v>
      </c>
      <c r="F56" s="32" t="str">
        <f aca="false">IF(AND(D56&lt;&gt;"",COUNTIF(Fatture!$A$9:$A$88,D56)=0),"Fattura non trovata","")</f>
        <v/>
      </c>
    </row>
    <row r="57" customFormat="false" ht="15" hidden="false" customHeight="false" outlineLevel="0" collapsed="false">
      <c r="A57" s="26" t="n">
        <v>46263</v>
      </c>
      <c r="B57" s="25" t="s">
        <v>66</v>
      </c>
      <c r="C57" s="27" t="n">
        <v>15860</v>
      </c>
      <c r="D57" s="31" t="s">
        <v>111</v>
      </c>
      <c r="E57" s="31" t="s">
        <v>143</v>
      </c>
      <c r="F57" s="32" t="str">
        <f aca="false">IF(AND(D57&lt;&gt;"",COUNTIF(Fatture!$A$9:$A$88,D57)=0),"Fattura non trovata","")</f>
        <v/>
      </c>
    </row>
    <row r="58" customFormat="false" ht="15" hidden="false" customHeight="false" outlineLevel="0" collapsed="false">
      <c r="A58" s="26" t="n">
        <v>46268</v>
      </c>
      <c r="B58" s="25" t="s">
        <v>72</v>
      </c>
      <c r="C58" s="27" t="n">
        <v>6100</v>
      </c>
      <c r="D58" s="31" t="s">
        <v>121</v>
      </c>
      <c r="E58" s="31" t="s">
        <v>143</v>
      </c>
      <c r="F58" s="32" t="str">
        <f aca="false">IF(AND(D58&lt;&gt;"",COUNTIF(Fatture!$A$9:$A$88,D58)=0),"Fattura non trovata","")</f>
        <v/>
      </c>
    </row>
    <row r="59" customFormat="false" ht="15" hidden="false" customHeight="false" outlineLevel="0" collapsed="false">
      <c r="A59" s="26" t="n">
        <v>46269</v>
      </c>
      <c r="B59" s="25" t="s">
        <v>62</v>
      </c>
      <c r="C59" s="27" t="n">
        <v>12200</v>
      </c>
      <c r="D59" s="31" t="s">
        <v>124</v>
      </c>
      <c r="E59" s="31" t="s">
        <v>143</v>
      </c>
      <c r="F59" s="32" t="str">
        <f aca="false">IF(AND(D59&lt;&gt;"",COUNTIF(Fatture!$A$9:$A$88,D59)=0),"Fattura non trovata","")</f>
        <v/>
      </c>
    </row>
    <row r="60" customFormat="false" ht="15" hidden="false" customHeight="false" outlineLevel="0" collapsed="false">
      <c r="A60" s="26" t="n">
        <v>46273</v>
      </c>
      <c r="B60" s="25" t="s">
        <v>64</v>
      </c>
      <c r="C60" s="27" t="n">
        <v>8540</v>
      </c>
      <c r="D60" s="31" t="s">
        <v>118</v>
      </c>
      <c r="E60" s="31" t="s">
        <v>143</v>
      </c>
      <c r="F60" s="32" t="str">
        <f aca="false">IF(AND(D60&lt;&gt;"",COUNTIF(Fatture!$A$9:$A$88,D60)=0),"Fattura non trovata","")</f>
        <v/>
      </c>
    </row>
    <row r="61" customFormat="false" ht="15" hidden="false" customHeight="false" outlineLevel="0" collapsed="false">
      <c r="A61" s="26" t="n">
        <v>46276</v>
      </c>
      <c r="B61" s="25" t="s">
        <v>74</v>
      </c>
      <c r="C61" s="27" t="n">
        <v>3660</v>
      </c>
      <c r="D61" s="31" t="s">
        <v>129</v>
      </c>
      <c r="E61" s="31" t="s">
        <v>143</v>
      </c>
      <c r="F61" s="32" t="str">
        <f aca="false">IF(AND(D61&lt;&gt;"",COUNTIF(Fatture!$A$9:$A$88,D61)=0),"Fattura non trovata","")</f>
        <v/>
      </c>
    </row>
    <row r="62" customFormat="false" ht="15" hidden="false" customHeight="false" outlineLevel="0" collapsed="false">
      <c r="A62" s="26" t="n">
        <v>46283</v>
      </c>
      <c r="B62" s="25" t="s">
        <v>68</v>
      </c>
      <c r="C62" s="27" t="n">
        <v>2440</v>
      </c>
      <c r="D62" s="31" t="s">
        <v>120</v>
      </c>
      <c r="E62" s="31" t="s">
        <v>143</v>
      </c>
      <c r="F62" s="32" t="str">
        <f aca="false">IF(AND(D62&lt;&gt;"",COUNTIF(Fatture!$A$9:$A$88,D62)=0),"Fattura non trovata","")</f>
        <v/>
      </c>
    </row>
    <row r="63" customFormat="false" ht="15" hidden="false" customHeight="false" outlineLevel="0" collapsed="false">
      <c r="A63" s="26" t="n">
        <v>46283</v>
      </c>
      <c r="B63" s="25" t="s">
        <v>72</v>
      </c>
      <c r="C63" s="27" t="n">
        <v>3000</v>
      </c>
      <c r="D63" s="31"/>
      <c r="E63" s="31" t="s">
        <v>143</v>
      </c>
      <c r="F63" s="32" t="str">
        <f aca="false">IF(AND(D63&lt;&gt;"",COUNTIF(Fatture!$A$9:$A$88,D63)=0),"Fattura non trovata","")</f>
        <v/>
      </c>
    </row>
    <row r="64" customFormat="false" ht="15" hidden="false" customHeight="false" outlineLevel="0" collapsed="false">
      <c r="A64" s="26" t="n">
        <v>46284</v>
      </c>
      <c r="B64" s="25" t="s">
        <v>68</v>
      </c>
      <c r="C64" s="27" t="n">
        <v>2440</v>
      </c>
      <c r="D64" s="31" t="s">
        <v>127</v>
      </c>
      <c r="E64" s="31" t="s">
        <v>143</v>
      </c>
      <c r="F64" s="32" t="str">
        <f aca="false">IF(AND(D64&lt;&gt;"",COUNTIF(Fatture!$A$9:$A$88,D64)=0),"Fattura non trovata","")</f>
        <v/>
      </c>
    </row>
    <row r="65" customFormat="false" ht="15" hidden="false" customHeight="false" outlineLevel="0" collapsed="false">
      <c r="A65" s="26" t="n">
        <v>46291</v>
      </c>
      <c r="B65" s="25" t="s">
        <v>76</v>
      </c>
      <c r="C65" s="27" t="n">
        <v>7320</v>
      </c>
      <c r="D65" s="31" t="s">
        <v>116</v>
      </c>
      <c r="E65" s="31" t="s">
        <v>143</v>
      </c>
      <c r="F65" s="32" t="str">
        <f aca="false">IF(AND(D65&lt;&gt;"",COUNTIF(Fatture!$A$9:$A$88,D65)=0),"Fattura non trovata","")</f>
        <v/>
      </c>
    </row>
    <row r="66" customFormat="false" ht="15" hidden="false" customHeight="false" outlineLevel="0" collapsed="false">
      <c r="A66" s="26" t="n">
        <v>46293</v>
      </c>
      <c r="B66" s="25" t="s">
        <v>66</v>
      </c>
      <c r="C66" s="27" t="n">
        <v>15860</v>
      </c>
      <c r="D66" s="31" t="s">
        <v>119</v>
      </c>
      <c r="E66" s="31" t="s">
        <v>143</v>
      </c>
      <c r="F66" s="32" t="str">
        <f aca="false">IF(AND(D66&lt;&gt;"",COUNTIF(Fatture!$A$9:$A$88,D66)=0),"Fattura non trovata","")</f>
        <v/>
      </c>
    </row>
    <row r="67" customFormat="false" ht="15" hidden="false" customHeight="false" outlineLevel="0" collapsed="false">
      <c r="A67" s="26"/>
      <c r="B67" s="25"/>
      <c r="C67" s="27"/>
      <c r="D67" s="31"/>
      <c r="E67" s="31"/>
      <c r="F67" s="32" t="str">
        <f aca="false">IF(AND(D67&lt;&gt;"",COUNTIF(Fatture!$A$9:$A$88,D67)=0),"Fattura non trovata","")</f>
        <v/>
      </c>
    </row>
    <row r="68" customFormat="false" ht="15" hidden="false" customHeight="false" outlineLevel="0" collapsed="false">
      <c r="A68" s="26"/>
      <c r="B68" s="25"/>
      <c r="C68" s="27"/>
      <c r="D68" s="31"/>
      <c r="E68" s="31"/>
      <c r="F68" s="32" t="str">
        <f aca="false">IF(AND(D68&lt;&gt;"",COUNTIF(Fatture!$A$9:$A$88,D68)=0),"Fattura non trovata","")</f>
        <v/>
      </c>
    </row>
    <row r="69" customFormat="false" ht="15" hidden="false" customHeight="false" outlineLevel="0" collapsed="false">
      <c r="A69" s="26"/>
      <c r="B69" s="25"/>
      <c r="C69" s="27"/>
      <c r="D69" s="31"/>
      <c r="E69" s="31"/>
      <c r="F69" s="32" t="str">
        <f aca="false">IF(AND(D69&lt;&gt;"",COUNTIF(Fatture!$A$9:$A$88,D69)=0),"Fattura non trovata","")</f>
        <v/>
      </c>
    </row>
    <row r="70" customFormat="false" ht="15" hidden="false" customHeight="false" outlineLevel="0" collapsed="false">
      <c r="A70" s="26"/>
      <c r="B70" s="25"/>
      <c r="C70" s="27"/>
      <c r="D70" s="31"/>
      <c r="E70" s="31"/>
      <c r="F70" s="32" t="str">
        <f aca="false">IF(AND(D70&lt;&gt;"",COUNTIF(Fatture!$A$9:$A$88,D70)=0),"Fattura non trovata","")</f>
        <v/>
      </c>
    </row>
    <row r="71" customFormat="false" ht="15" hidden="false" customHeight="false" outlineLevel="0" collapsed="false">
      <c r="A71" s="26"/>
      <c r="B71" s="25"/>
      <c r="C71" s="27"/>
      <c r="D71" s="31"/>
      <c r="E71" s="31"/>
      <c r="F71" s="32" t="str">
        <f aca="false">IF(AND(D71&lt;&gt;"",COUNTIF(Fatture!$A$9:$A$88,D71)=0),"Fattura non trovata","")</f>
        <v/>
      </c>
    </row>
    <row r="72" customFormat="false" ht="15" hidden="false" customHeight="false" outlineLevel="0" collapsed="false">
      <c r="A72" s="26"/>
      <c r="B72" s="25"/>
      <c r="C72" s="27"/>
      <c r="D72" s="31"/>
      <c r="E72" s="31"/>
      <c r="F72" s="32" t="str">
        <f aca="false">IF(AND(D72&lt;&gt;"",COUNTIF(Fatture!$A$9:$A$88,D72)=0),"Fattura non trovata","")</f>
        <v/>
      </c>
    </row>
    <row r="73" customFormat="false" ht="15" hidden="false" customHeight="false" outlineLevel="0" collapsed="false">
      <c r="A73" s="26"/>
      <c r="B73" s="25"/>
      <c r="C73" s="27"/>
      <c r="D73" s="31"/>
      <c r="E73" s="31"/>
      <c r="F73" s="32" t="str">
        <f aca="false">IF(AND(D73&lt;&gt;"",COUNTIF(Fatture!$A$9:$A$88,D73)=0),"Fattura non trovata","")</f>
        <v/>
      </c>
    </row>
    <row r="74" customFormat="false" ht="15" hidden="false" customHeight="false" outlineLevel="0" collapsed="false">
      <c r="A74" s="26"/>
      <c r="B74" s="25"/>
      <c r="C74" s="27"/>
      <c r="D74" s="31"/>
      <c r="E74" s="31"/>
      <c r="F74" s="32" t="str">
        <f aca="false">IF(AND(D74&lt;&gt;"",COUNTIF(Fatture!$A$9:$A$88,D74)=0),"Fattura non trovata","")</f>
        <v/>
      </c>
    </row>
    <row r="75" customFormat="false" ht="15" hidden="false" customHeight="false" outlineLevel="0" collapsed="false">
      <c r="A75" s="26"/>
      <c r="B75" s="25"/>
      <c r="C75" s="27"/>
      <c r="D75" s="31"/>
      <c r="E75" s="31"/>
      <c r="F75" s="32" t="str">
        <f aca="false">IF(AND(D75&lt;&gt;"",COUNTIF(Fatture!$A$9:$A$88,D75)=0),"Fattura non trovata","")</f>
        <v/>
      </c>
    </row>
    <row r="76" customFormat="false" ht="15" hidden="false" customHeight="false" outlineLevel="0" collapsed="false">
      <c r="A76" s="26"/>
      <c r="B76" s="25"/>
      <c r="C76" s="27"/>
      <c r="D76" s="31"/>
      <c r="E76" s="31"/>
      <c r="F76" s="32" t="str">
        <f aca="false">IF(AND(D76&lt;&gt;"",COUNTIF(Fatture!$A$9:$A$88,D76)=0),"Fattura non trovata","")</f>
        <v/>
      </c>
    </row>
    <row r="77" customFormat="false" ht="15" hidden="false" customHeight="false" outlineLevel="0" collapsed="false">
      <c r="A77" s="26"/>
      <c r="B77" s="25"/>
      <c r="C77" s="27"/>
      <c r="D77" s="31"/>
      <c r="E77" s="31"/>
      <c r="F77" s="32" t="str">
        <f aca="false">IF(AND(D77&lt;&gt;"",COUNTIF(Fatture!$A$9:$A$88,D77)=0),"Fattura non trovata","")</f>
        <v/>
      </c>
    </row>
    <row r="78" customFormat="false" ht="15" hidden="false" customHeight="false" outlineLevel="0" collapsed="false">
      <c r="A78" s="26"/>
      <c r="B78" s="25"/>
      <c r="C78" s="27"/>
      <c r="D78" s="31"/>
      <c r="E78" s="31"/>
      <c r="F78" s="32" t="str">
        <f aca="false">IF(AND(D78&lt;&gt;"",COUNTIF(Fatture!$A$9:$A$88,D78)=0),"Fattura non trovata","")</f>
        <v/>
      </c>
    </row>
    <row r="79" customFormat="false" ht="15" hidden="false" customHeight="false" outlineLevel="0" collapsed="false">
      <c r="A79" s="26"/>
      <c r="B79" s="25"/>
      <c r="C79" s="27"/>
      <c r="D79" s="31"/>
      <c r="E79" s="31"/>
      <c r="F79" s="32" t="str">
        <f aca="false">IF(AND(D79&lt;&gt;"",COUNTIF(Fatture!$A$9:$A$88,D79)=0),"Fattura non trovata","")</f>
        <v/>
      </c>
    </row>
    <row r="80" customFormat="false" ht="15" hidden="false" customHeight="false" outlineLevel="0" collapsed="false">
      <c r="A80" s="26"/>
      <c r="B80" s="25"/>
      <c r="C80" s="27"/>
      <c r="D80" s="31"/>
      <c r="E80" s="31"/>
      <c r="F80" s="32" t="str">
        <f aca="false">IF(AND(D80&lt;&gt;"",COUNTIF(Fatture!$A$9:$A$88,D80)=0),"Fattura non trovata","")</f>
        <v/>
      </c>
    </row>
    <row r="81" customFormat="false" ht="15" hidden="false" customHeight="false" outlineLevel="0" collapsed="false">
      <c r="A81" s="26"/>
      <c r="B81" s="25"/>
      <c r="C81" s="27"/>
      <c r="D81" s="31"/>
      <c r="E81" s="31"/>
      <c r="F81" s="32" t="str">
        <f aca="false">IF(AND(D81&lt;&gt;"",COUNTIF(Fatture!$A$9:$A$88,D81)=0),"Fattura non trovata","")</f>
        <v/>
      </c>
    </row>
    <row r="82" customFormat="false" ht="15" hidden="false" customHeight="false" outlineLevel="0" collapsed="false">
      <c r="A82" s="26"/>
      <c r="B82" s="25"/>
      <c r="C82" s="27"/>
      <c r="D82" s="31"/>
      <c r="E82" s="31"/>
      <c r="F82" s="32" t="str">
        <f aca="false">IF(AND(D82&lt;&gt;"",COUNTIF(Fatture!$A$9:$A$88,D82)=0),"Fattura non trovata","")</f>
        <v/>
      </c>
    </row>
    <row r="83" customFormat="false" ht="15" hidden="false" customHeight="false" outlineLevel="0" collapsed="false">
      <c r="A83" s="26"/>
      <c r="B83" s="25"/>
      <c r="C83" s="27"/>
      <c r="D83" s="31"/>
      <c r="E83" s="31"/>
      <c r="F83" s="32" t="str">
        <f aca="false">IF(AND(D83&lt;&gt;"",COUNTIF(Fatture!$A$9:$A$88,D83)=0),"Fattura non trovata","")</f>
        <v/>
      </c>
    </row>
    <row r="84" customFormat="false" ht="15" hidden="false" customHeight="false" outlineLevel="0" collapsed="false">
      <c r="A84" s="26"/>
      <c r="B84" s="25"/>
      <c r="C84" s="27"/>
      <c r="D84" s="31"/>
      <c r="E84" s="31"/>
      <c r="F84" s="32" t="str">
        <f aca="false">IF(AND(D84&lt;&gt;"",COUNTIF(Fatture!$A$9:$A$88,D84)=0),"Fattura non trovata","")</f>
        <v/>
      </c>
    </row>
    <row r="85" customFormat="false" ht="15" hidden="false" customHeight="false" outlineLevel="0" collapsed="false">
      <c r="A85" s="26"/>
      <c r="B85" s="25"/>
      <c r="C85" s="27"/>
      <c r="D85" s="31"/>
      <c r="E85" s="31"/>
      <c r="F85" s="32" t="str">
        <f aca="false">IF(AND(D85&lt;&gt;"",COUNTIF(Fatture!$A$9:$A$88,D85)=0),"Fattura non trovata","")</f>
        <v/>
      </c>
    </row>
    <row r="86" customFormat="false" ht="15" hidden="false" customHeight="false" outlineLevel="0" collapsed="false">
      <c r="A86" s="26"/>
      <c r="B86" s="25"/>
      <c r="C86" s="27"/>
      <c r="D86" s="31"/>
      <c r="E86" s="31"/>
      <c r="F86" s="32" t="str">
        <f aca="false">IF(AND(D86&lt;&gt;"",COUNTIF(Fatture!$A$9:$A$88,D86)=0),"Fattura non trovata","")</f>
        <v/>
      </c>
    </row>
    <row r="87" customFormat="false" ht="15" hidden="false" customHeight="false" outlineLevel="0" collapsed="false">
      <c r="A87" s="26"/>
      <c r="B87" s="25"/>
      <c r="C87" s="27"/>
      <c r="D87" s="31"/>
      <c r="E87" s="31"/>
      <c r="F87" s="32" t="str">
        <f aca="false">IF(AND(D87&lt;&gt;"",COUNTIF(Fatture!$A$9:$A$88,D87)=0),"Fattura non trovata","")</f>
        <v/>
      </c>
    </row>
    <row r="88" customFormat="false" ht="15" hidden="false" customHeight="false" outlineLevel="0" collapsed="false">
      <c r="A88" s="26"/>
      <c r="B88" s="25"/>
      <c r="C88" s="27"/>
      <c r="D88" s="31"/>
      <c r="E88" s="31"/>
      <c r="F88" s="32" t="str">
        <f aca="false">IF(AND(D88&lt;&gt;"",COUNTIF(Fatture!$A$9:$A$88,D88)=0),"Fattura non trovata","")</f>
        <v/>
      </c>
    </row>
    <row r="89" customFormat="false" ht="15" hidden="false" customHeight="false" outlineLevel="0" collapsed="false">
      <c r="A89" s="26"/>
      <c r="B89" s="25"/>
      <c r="C89" s="27"/>
      <c r="D89" s="31"/>
      <c r="E89" s="31"/>
      <c r="F89" s="32" t="str">
        <f aca="false">IF(AND(D89&lt;&gt;"",COUNTIF(Fatture!$A$9:$A$88,D89)=0),"Fattura non trovata","")</f>
        <v/>
      </c>
    </row>
    <row r="90" customFormat="false" ht="15" hidden="false" customHeight="false" outlineLevel="0" collapsed="false">
      <c r="A90" s="26"/>
      <c r="B90" s="25"/>
      <c r="C90" s="27"/>
      <c r="D90" s="31"/>
      <c r="E90" s="31"/>
      <c r="F90" s="32" t="str">
        <f aca="false">IF(AND(D90&lt;&gt;"",COUNTIF(Fatture!$A$9:$A$88,D90)=0),"Fattura non trovata","")</f>
        <v/>
      </c>
    </row>
    <row r="91" customFormat="false" ht="15" hidden="false" customHeight="false" outlineLevel="0" collapsed="false">
      <c r="A91" s="26"/>
      <c r="B91" s="25"/>
      <c r="C91" s="27"/>
      <c r="D91" s="31"/>
      <c r="E91" s="31"/>
      <c r="F91" s="32" t="str">
        <f aca="false">IF(AND(D91&lt;&gt;"",COUNTIF(Fatture!$A$9:$A$88,D91)=0),"Fattura non trovata","")</f>
        <v/>
      </c>
    </row>
    <row r="92" customFormat="false" ht="15" hidden="false" customHeight="false" outlineLevel="0" collapsed="false">
      <c r="A92" s="26"/>
      <c r="B92" s="25"/>
      <c r="C92" s="27"/>
      <c r="D92" s="31"/>
      <c r="E92" s="31"/>
      <c r="F92" s="32" t="str">
        <f aca="false">IF(AND(D92&lt;&gt;"",COUNTIF(Fatture!$A$9:$A$88,D92)=0),"Fattura non trovata","")</f>
        <v/>
      </c>
    </row>
    <row r="93" customFormat="false" ht="15" hidden="false" customHeight="false" outlineLevel="0" collapsed="false">
      <c r="A93" s="26"/>
      <c r="B93" s="25"/>
      <c r="C93" s="27"/>
      <c r="D93" s="31"/>
      <c r="E93" s="31"/>
      <c r="F93" s="32" t="str">
        <f aca="false">IF(AND(D93&lt;&gt;"",COUNTIF(Fatture!$A$9:$A$88,D93)=0),"Fattura non trovata","")</f>
        <v/>
      </c>
    </row>
    <row r="94" customFormat="false" ht="15" hidden="false" customHeight="false" outlineLevel="0" collapsed="false">
      <c r="A94" s="26"/>
      <c r="B94" s="25"/>
      <c r="C94" s="27"/>
      <c r="D94" s="31"/>
      <c r="E94" s="31"/>
      <c r="F94" s="32" t="str">
        <f aca="false">IF(AND(D94&lt;&gt;"",COUNTIF(Fatture!$A$9:$A$88,D94)=0),"Fattura non trovata","")</f>
        <v/>
      </c>
    </row>
    <row r="95" customFormat="false" ht="15" hidden="false" customHeight="false" outlineLevel="0" collapsed="false">
      <c r="A95" s="26"/>
      <c r="B95" s="25"/>
      <c r="C95" s="27"/>
      <c r="D95" s="31"/>
      <c r="E95" s="31"/>
      <c r="F95" s="32" t="str">
        <f aca="false">IF(AND(D95&lt;&gt;"",COUNTIF(Fatture!$A$9:$A$88,D95)=0),"Fattura non trovata","")</f>
        <v/>
      </c>
    </row>
    <row r="96" customFormat="false" ht="15" hidden="false" customHeight="false" outlineLevel="0" collapsed="false">
      <c r="A96" s="26"/>
      <c r="B96" s="25"/>
      <c r="C96" s="27"/>
      <c r="D96" s="31"/>
      <c r="E96" s="31"/>
      <c r="F96" s="32" t="str">
        <f aca="false">IF(AND(D96&lt;&gt;"",COUNTIF(Fatture!$A$9:$A$88,D96)=0),"Fattura non trovata","")</f>
        <v/>
      </c>
    </row>
    <row r="97" customFormat="false" ht="15" hidden="false" customHeight="false" outlineLevel="0" collapsed="false">
      <c r="A97" s="26"/>
      <c r="B97" s="25"/>
      <c r="C97" s="27"/>
      <c r="D97" s="31"/>
      <c r="E97" s="31"/>
      <c r="F97" s="32" t="str">
        <f aca="false">IF(AND(D97&lt;&gt;"",COUNTIF(Fatture!$A$9:$A$88,D97)=0),"Fattura non trovata","")</f>
        <v/>
      </c>
    </row>
    <row r="98" customFormat="false" ht="15" hidden="false" customHeight="false" outlineLevel="0" collapsed="false">
      <c r="A98" s="26"/>
      <c r="B98" s="25"/>
      <c r="C98" s="27"/>
      <c r="D98" s="31"/>
      <c r="E98" s="31"/>
      <c r="F98" s="32" t="str">
        <f aca="false">IF(AND(D98&lt;&gt;"",COUNTIF(Fatture!$A$9:$A$88,D98)=0),"Fattura non trovata","")</f>
        <v/>
      </c>
    </row>
    <row r="99" customFormat="false" ht="15" hidden="false" customHeight="false" outlineLevel="0" collapsed="false">
      <c r="A99" s="26"/>
      <c r="B99" s="25"/>
      <c r="C99" s="27"/>
      <c r="D99" s="31"/>
      <c r="E99" s="31"/>
      <c r="F99" s="32" t="str">
        <f aca="false">IF(AND(D99&lt;&gt;"",COUNTIF(Fatture!$A$9:$A$88,D99)=0),"Fattura non trovata","")</f>
        <v/>
      </c>
    </row>
    <row r="100" customFormat="false" ht="15" hidden="false" customHeight="false" outlineLevel="0" collapsed="false">
      <c r="A100" s="26"/>
      <c r="B100" s="25"/>
      <c r="C100" s="27"/>
      <c r="D100" s="31"/>
      <c r="E100" s="31"/>
      <c r="F100" s="32" t="str">
        <f aca="false">IF(AND(D100&lt;&gt;"",COUNTIF(Fatture!$A$9:$A$88,D100)=0),"Fattura non trovata","")</f>
        <v/>
      </c>
    </row>
    <row r="101" customFormat="false" ht="15" hidden="false" customHeight="false" outlineLevel="0" collapsed="false">
      <c r="A101" s="26"/>
      <c r="B101" s="25"/>
      <c r="C101" s="27"/>
      <c r="D101" s="31"/>
      <c r="E101" s="31"/>
      <c r="F101" s="32" t="str">
        <f aca="false">IF(AND(D101&lt;&gt;"",COUNTIF(Fatture!$A$9:$A$88,D101)=0),"Fattura non trovata","")</f>
        <v/>
      </c>
    </row>
    <row r="102" customFormat="false" ht="15" hidden="false" customHeight="false" outlineLevel="0" collapsed="false">
      <c r="A102" s="26"/>
      <c r="B102" s="25"/>
      <c r="C102" s="27"/>
      <c r="D102" s="31"/>
      <c r="E102" s="31"/>
      <c r="F102" s="32" t="str">
        <f aca="false">IF(AND(D102&lt;&gt;"",COUNTIF(Fatture!$A$9:$A$88,D102)=0),"Fattura non trovata","")</f>
        <v/>
      </c>
    </row>
    <row r="103" customFormat="false" ht="15" hidden="false" customHeight="false" outlineLevel="0" collapsed="false">
      <c r="A103" s="26"/>
      <c r="B103" s="25"/>
      <c r="C103" s="27"/>
      <c r="D103" s="31"/>
      <c r="E103" s="31"/>
      <c r="F103" s="32" t="str">
        <f aca="false">IF(AND(D103&lt;&gt;"",COUNTIF(Fatture!$A$9:$A$88,D103)=0),"Fattura non trovata","")</f>
        <v/>
      </c>
    </row>
    <row r="104" customFormat="false" ht="15" hidden="false" customHeight="false" outlineLevel="0" collapsed="false">
      <c r="A104" s="26"/>
      <c r="B104" s="25"/>
      <c r="C104" s="27"/>
      <c r="D104" s="31"/>
      <c r="E104" s="31"/>
      <c r="F104" s="32" t="str">
        <f aca="false">IF(AND(D104&lt;&gt;"",COUNTIF(Fatture!$A$9:$A$88,D104)=0),"Fattura non trovata","")</f>
        <v/>
      </c>
    </row>
    <row r="105" customFormat="false" ht="15" hidden="false" customHeight="false" outlineLevel="0" collapsed="false">
      <c r="A105" s="26"/>
      <c r="B105" s="25"/>
      <c r="C105" s="27"/>
      <c r="D105" s="31"/>
      <c r="E105" s="31"/>
      <c r="F105" s="32" t="str">
        <f aca="false">IF(AND(D105&lt;&gt;"",COUNTIF(Fatture!$A$9:$A$88,D105)=0),"Fattura non trovata","")</f>
        <v/>
      </c>
    </row>
    <row r="106" customFormat="false" ht="15" hidden="false" customHeight="false" outlineLevel="0" collapsed="false">
      <c r="A106" s="26"/>
      <c r="B106" s="25"/>
      <c r="C106" s="27"/>
      <c r="D106" s="31"/>
      <c r="E106" s="31"/>
      <c r="F106" s="32" t="str">
        <f aca="false">IF(AND(D106&lt;&gt;"",COUNTIF(Fatture!$A$9:$A$88,D106)=0),"Fattura non trovata","")</f>
        <v/>
      </c>
    </row>
    <row r="107" customFormat="false" ht="15" hidden="false" customHeight="false" outlineLevel="0" collapsed="false">
      <c r="A107" s="26"/>
      <c r="B107" s="25"/>
      <c r="C107" s="27"/>
      <c r="D107" s="31"/>
      <c r="E107" s="31"/>
      <c r="F107" s="32" t="str">
        <f aca="false">IF(AND(D107&lt;&gt;"",COUNTIF(Fatture!$A$9:$A$88,D107)=0),"Fattura non trovata","")</f>
        <v/>
      </c>
    </row>
    <row r="108" customFormat="false" ht="15" hidden="false" customHeight="false" outlineLevel="0" collapsed="false">
      <c r="A108" s="26"/>
      <c r="B108" s="25"/>
      <c r="C108" s="27"/>
      <c r="D108" s="31"/>
      <c r="E108" s="31"/>
      <c r="F108" s="32" t="str">
        <f aca="false">IF(AND(D108&lt;&gt;"",COUNTIF(Fatture!$A$9:$A$88,D108)=0),"Fattura non trovata","")</f>
        <v/>
      </c>
    </row>
    <row r="109" customFormat="false" ht="15" hidden="false" customHeight="false" outlineLevel="0" collapsed="false">
      <c r="A109" s="26"/>
      <c r="B109" s="25"/>
      <c r="C109" s="27"/>
      <c r="D109" s="31"/>
      <c r="E109" s="31"/>
      <c r="F109" s="32" t="str">
        <f aca="false">IF(AND(D109&lt;&gt;"",COUNTIF(Fatture!$A$9:$A$88,D109)=0),"Fattura non trovata","")</f>
        <v/>
      </c>
    </row>
    <row r="110" customFormat="false" ht="15" hidden="false" customHeight="false" outlineLevel="0" collapsed="false">
      <c r="A110" s="26"/>
      <c r="B110" s="25"/>
      <c r="C110" s="27"/>
      <c r="D110" s="31"/>
      <c r="E110" s="31"/>
      <c r="F110" s="32" t="str">
        <f aca="false">IF(AND(D110&lt;&gt;"",COUNTIF(Fatture!$A$9:$A$88,D110)=0),"Fattura non trovata","")</f>
        <v/>
      </c>
    </row>
    <row r="111" customFormat="false" ht="15" hidden="false" customHeight="false" outlineLevel="0" collapsed="false">
      <c r="A111" s="26"/>
      <c r="B111" s="25"/>
      <c r="C111" s="27"/>
      <c r="D111" s="31"/>
      <c r="E111" s="31"/>
      <c r="F111" s="32" t="str">
        <f aca="false">IF(AND(D111&lt;&gt;"",COUNTIF(Fatture!$A$9:$A$88,D111)=0),"Fattura non trovata","")</f>
        <v/>
      </c>
    </row>
    <row r="112" customFormat="false" ht="15" hidden="false" customHeight="false" outlineLevel="0" collapsed="false">
      <c r="A112" s="26"/>
      <c r="B112" s="25"/>
      <c r="C112" s="27"/>
      <c r="D112" s="31"/>
      <c r="E112" s="31"/>
      <c r="F112" s="32" t="str">
        <f aca="false">IF(AND(D112&lt;&gt;"",COUNTIF(Fatture!$A$9:$A$88,D112)=0),"Fattura non trovata","")</f>
        <v/>
      </c>
    </row>
    <row r="113" customFormat="false" ht="15" hidden="false" customHeight="false" outlineLevel="0" collapsed="false">
      <c r="A113" s="26"/>
      <c r="B113" s="25"/>
      <c r="C113" s="27"/>
      <c r="D113" s="31"/>
      <c r="E113" s="31"/>
      <c r="F113" s="32" t="str">
        <f aca="false">IF(AND(D113&lt;&gt;"",COUNTIF(Fatture!$A$9:$A$88,D113)=0),"Fattura non trovata","")</f>
        <v/>
      </c>
    </row>
    <row r="114" customFormat="false" ht="15" hidden="false" customHeight="false" outlineLevel="0" collapsed="false">
      <c r="A114" s="26"/>
      <c r="B114" s="25"/>
      <c r="C114" s="27"/>
      <c r="D114" s="31"/>
      <c r="E114" s="31"/>
      <c r="F114" s="32" t="str">
        <f aca="false">IF(AND(D114&lt;&gt;"",COUNTIF(Fatture!$A$9:$A$88,D114)=0),"Fattura non trovata","")</f>
        <v/>
      </c>
    </row>
    <row r="115" customFormat="false" ht="15" hidden="false" customHeight="false" outlineLevel="0" collapsed="false">
      <c r="A115" s="26"/>
      <c r="B115" s="25"/>
      <c r="C115" s="27"/>
      <c r="D115" s="31"/>
      <c r="E115" s="31"/>
      <c r="F115" s="32" t="str">
        <f aca="false">IF(AND(D115&lt;&gt;"",COUNTIF(Fatture!$A$9:$A$88,D115)=0),"Fattura non trovata","")</f>
        <v/>
      </c>
    </row>
    <row r="116" customFormat="false" ht="15" hidden="false" customHeight="false" outlineLevel="0" collapsed="false">
      <c r="A116" s="26"/>
      <c r="B116" s="25"/>
      <c r="C116" s="27"/>
      <c r="D116" s="31"/>
      <c r="E116" s="31"/>
      <c r="F116" s="32" t="str">
        <f aca="false">IF(AND(D116&lt;&gt;"",COUNTIF(Fatture!$A$9:$A$88,D116)=0),"Fattura non trovata","")</f>
        <v/>
      </c>
    </row>
    <row r="117" customFormat="false" ht="15" hidden="false" customHeight="false" outlineLevel="0" collapsed="false">
      <c r="A117" s="26"/>
      <c r="B117" s="25"/>
      <c r="C117" s="27"/>
      <c r="D117" s="31"/>
      <c r="E117" s="31"/>
      <c r="F117" s="32" t="str">
        <f aca="false">IF(AND(D117&lt;&gt;"",COUNTIF(Fatture!$A$9:$A$88,D117)=0),"Fattura non trovata","")</f>
        <v/>
      </c>
    </row>
    <row r="118" customFormat="false" ht="15" hidden="false" customHeight="false" outlineLevel="0" collapsed="false">
      <c r="A118" s="26"/>
      <c r="B118" s="25"/>
      <c r="C118" s="27"/>
      <c r="D118" s="31"/>
      <c r="E118" s="31"/>
      <c r="F118" s="32" t="str">
        <f aca="false">IF(AND(D118&lt;&gt;"",COUNTIF(Fatture!$A$9:$A$88,D118)=0),"Fattura non trovata","")</f>
        <v/>
      </c>
    </row>
    <row r="119" customFormat="false" ht="15" hidden="false" customHeight="false" outlineLevel="0" collapsed="false">
      <c r="A119" s="26"/>
      <c r="B119" s="25"/>
      <c r="C119" s="27"/>
      <c r="D119" s="31"/>
      <c r="E119" s="31"/>
      <c r="F119" s="32" t="str">
        <f aca="false">IF(AND(D119&lt;&gt;"",COUNTIF(Fatture!$A$9:$A$88,D119)=0),"Fattura non trovata","")</f>
        <v/>
      </c>
    </row>
    <row r="120" customFormat="false" ht="15" hidden="false" customHeight="false" outlineLevel="0" collapsed="false">
      <c r="A120" s="26"/>
      <c r="B120" s="25"/>
      <c r="C120" s="27"/>
      <c r="D120" s="31"/>
      <c r="E120" s="31"/>
      <c r="F120" s="32" t="str">
        <f aca="false">IF(AND(D120&lt;&gt;"",COUNTIF(Fatture!$A$9:$A$88,D120)=0),"Fattura non trovata","")</f>
        <v/>
      </c>
    </row>
    <row r="121" customFormat="false" ht="15" hidden="false" customHeight="false" outlineLevel="0" collapsed="false">
      <c r="A121" s="26"/>
      <c r="B121" s="25"/>
      <c r="C121" s="27"/>
      <c r="D121" s="31"/>
      <c r="E121" s="31"/>
      <c r="F121" s="32" t="str">
        <f aca="false">IF(AND(D121&lt;&gt;"",COUNTIF(Fatture!$A$9:$A$88,D121)=0),"Fattura non trovata","")</f>
        <v/>
      </c>
    </row>
    <row r="122" customFormat="false" ht="15" hidden="false" customHeight="false" outlineLevel="0" collapsed="false">
      <c r="A122" s="26"/>
      <c r="B122" s="25"/>
      <c r="C122" s="27"/>
      <c r="D122" s="31"/>
      <c r="E122" s="31"/>
      <c r="F122" s="32" t="str">
        <f aca="false">IF(AND(D122&lt;&gt;"",COUNTIF(Fatture!$A$9:$A$88,D122)=0),"Fattura non trovata","")</f>
        <v/>
      </c>
    </row>
    <row r="123" customFormat="false" ht="15" hidden="false" customHeight="false" outlineLevel="0" collapsed="false">
      <c r="A123" s="26"/>
      <c r="B123" s="25"/>
      <c r="C123" s="27"/>
      <c r="D123" s="31"/>
      <c r="E123" s="31"/>
      <c r="F123" s="32" t="str">
        <f aca="false">IF(AND(D123&lt;&gt;"",COUNTIF(Fatture!$A$9:$A$88,D123)=0),"Fattura non trovata","")</f>
        <v/>
      </c>
    </row>
    <row r="124" customFormat="false" ht="15" hidden="false" customHeight="false" outlineLevel="0" collapsed="false">
      <c r="A124" s="26"/>
      <c r="B124" s="25"/>
      <c r="C124" s="27"/>
      <c r="D124" s="31"/>
      <c r="E124" s="31"/>
      <c r="F124" s="32" t="str">
        <f aca="false">IF(AND(D124&lt;&gt;"",COUNTIF(Fatture!$A$9:$A$88,D124)=0),"Fattura non trovata","")</f>
        <v/>
      </c>
    </row>
    <row r="126" customFormat="false" ht="15" hidden="false" customHeight="false" outlineLevel="0" collapsed="false">
      <c r="A126" s="2" t="s">
        <v>145</v>
      </c>
    </row>
  </sheetData>
  <dataValidations count="2">
    <dataValidation allowBlank="true" errorStyle="stop" operator="between" showDropDown="false" showErrorMessage="false" showInputMessage="false" sqref="E5:E124" type="list">
      <formula1>"Bonifico,Nota di credito,Altro"</formula1>
      <formula2>0</formula2>
    </dataValidation>
    <dataValidation allowBlank="true" errorStyle="stop" operator="between" showDropDown="false" showErrorMessage="false" showInputMessage="false" sqref="D5:D124" type="list">
      <formula1>Fatture!$A$9:$A$88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146</v>
      </c>
    </row>
    <row r="3" customFormat="false" ht="15" hidden="false" customHeight="false" outlineLevel="0" collapsed="false">
      <c r="B3" s="2" t="s">
        <v>147</v>
      </c>
    </row>
    <row r="5" customFormat="false" ht="23.85" hidden="false" customHeight="false" outlineLevel="0" collapsed="false">
      <c r="B5" s="4" t="s">
        <v>148</v>
      </c>
    </row>
    <row r="7" customFormat="false" ht="35.05" hidden="false" customHeight="false" outlineLevel="0" collapsed="false">
      <c r="B7" s="4" t="s">
        <v>149</v>
      </c>
    </row>
    <row r="9" customFormat="false" ht="23.85" hidden="false" customHeight="false" outlineLevel="0" collapsed="false">
      <c r="B9" s="4" t="s">
        <v>150</v>
      </c>
    </row>
    <row r="11" customFormat="false" ht="23.85" hidden="false" customHeight="false" outlineLevel="0" collapsed="false">
      <c r="B11" s="4" t="s">
        <v>151</v>
      </c>
    </row>
    <row r="13" customFormat="false" ht="23.85" hidden="false" customHeight="false" outlineLevel="0" collapsed="false">
      <c r="B13" s="4" t="s">
        <v>152</v>
      </c>
    </row>
    <row r="15" customFormat="false" ht="15" hidden="false" customHeight="false" outlineLevel="0" collapsed="false">
      <c r="B15" s="33" t="s">
        <v>153</v>
      </c>
    </row>
  </sheetData>
  <hyperlinks>
    <hyperlink ref="B15" r:id="rId1" display="Per parlarne: https://reversea.io/contatt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2026-10-14T14:56:11Z</dcterms:created>
  <dc:creator>openpyxl</dc:creator>
  <dc:description/>
  <dc:language>en-US</dc:language>
  <cp:lastModifiedBy/>
  <dcterms:modified xsi:type="dcterms:W3CDTF">2026-10-14T14:56:11Z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